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a4440b53967216/Documents/Backup/"/>
    </mc:Choice>
  </mc:AlternateContent>
  <xr:revisionPtr revIDLastSave="2871" documentId="11_AA890FD103FD489C0D453E6F0F625A04F6D285D0" xr6:coauthVersionLast="45" xr6:coauthVersionMax="45" xr10:uidLastSave="{7982558B-C735-44E2-B5E4-D35E043EEBD1}"/>
  <bookViews>
    <workbookView xWindow="-108" yWindow="-108" windowWidth="23256" windowHeight="12576" tabRatio="921" firstSheet="6" activeTab="12" xr2:uid="{00000000-000D-0000-FFFF-FFFF00000000}"/>
  </bookViews>
  <sheets>
    <sheet name="Past Quartets 1st - 3rd Place" sheetId="1" r:id="rId1"/>
    <sheet name="Past Quartets 4th - 6th Place" sheetId="2" r:id="rId2"/>
    <sheet name="Past Quartets 7th onwards" sheetId="9" r:id="rId3"/>
    <sheet name="Missing Info" sheetId="11" r:id="rId4"/>
    <sheet name="Mike Warmers" sheetId="3" r:id="rId5"/>
    <sheet name="Chorus Champs" sheetId="7" r:id="rId6"/>
    <sheet name="Other Chorus Results" sheetId="8" r:id="rId7"/>
    <sheet name="Chorus Divisions" sheetId="15" r:id="rId8"/>
    <sheet name="Chorus &amp; Quartet results at Int" sheetId="4" r:id="rId9"/>
    <sheet name="Most improved chorus" sheetId="5" r:id="rId10"/>
    <sheet name="Most Improved Chorus Calc" sheetId="10" r:id="rId11"/>
    <sheet name="Most improved Quartet" sheetId="14" r:id="rId12"/>
    <sheet name="Most Improved Quartet Calc" sheetId="13" r:id="rId13"/>
    <sheet name="Small Chorus Award" sheetId="6" r:id="rId14"/>
    <sheet name="Seniors Detail" sheetId="12" r:id="rId15"/>
  </sheets>
  <definedNames>
    <definedName name="_xlnm.Print_Titles" localSheetId="3">'Missing Info'!$1:$1</definedName>
    <definedName name="_xlnm.Print_Titles" localSheetId="10">'Most Improved Chorus Calc'!$A:$A,'Most Improved Chorus Calc'!$1:$3</definedName>
    <definedName name="_xlnm.Print_Titles" localSheetId="12">'Most Improved Quartet Calc'!$1:$3</definedName>
    <definedName name="_xlnm.Print_Titles" localSheetId="6">'Other Chorus Results'!$A:$A</definedName>
    <definedName name="_xlnm.Print_Titles" localSheetId="2">'Past Quartets 7th onwards'!$A:$B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4" i="12" l="1"/>
  <c r="K114" i="12"/>
  <c r="K113" i="12"/>
  <c r="J113" i="12"/>
  <c r="I114" i="12"/>
  <c r="I115" i="12" s="1"/>
  <c r="I113" i="12"/>
  <c r="K119" i="12"/>
  <c r="J119" i="12"/>
  <c r="I119" i="12"/>
  <c r="M118" i="12"/>
  <c r="M117" i="12"/>
  <c r="K115" i="12"/>
  <c r="M114" i="12"/>
  <c r="M113" i="12"/>
  <c r="M138" i="6"/>
  <c r="I138" i="6"/>
  <c r="E138" i="6"/>
  <c r="N136" i="6"/>
  <c r="J136" i="6"/>
  <c r="F136" i="6"/>
  <c r="N135" i="6"/>
  <c r="J135" i="6"/>
  <c r="F135" i="6"/>
  <c r="N134" i="6"/>
  <c r="J134" i="6"/>
  <c r="F134" i="6"/>
  <c r="N133" i="6"/>
  <c r="J133" i="6"/>
  <c r="F133" i="6"/>
  <c r="N132" i="6"/>
  <c r="J132" i="6"/>
  <c r="F132" i="6"/>
  <c r="N131" i="6"/>
  <c r="J131" i="6"/>
  <c r="F131" i="6"/>
  <c r="N130" i="6"/>
  <c r="J130" i="6"/>
  <c r="F130" i="6"/>
  <c r="N129" i="6"/>
  <c r="J129" i="6"/>
  <c r="F129" i="6"/>
  <c r="N128" i="6"/>
  <c r="J128" i="6"/>
  <c r="F128" i="6"/>
  <c r="N123" i="6"/>
  <c r="J123" i="6"/>
  <c r="F123" i="6"/>
  <c r="N122" i="6"/>
  <c r="J122" i="6"/>
  <c r="F122" i="6"/>
  <c r="N121" i="6"/>
  <c r="J121" i="6"/>
  <c r="F121" i="6"/>
  <c r="N127" i="6"/>
  <c r="J127" i="6"/>
  <c r="F127" i="6"/>
  <c r="N126" i="6"/>
  <c r="J126" i="6"/>
  <c r="F126" i="6"/>
  <c r="N124" i="6"/>
  <c r="J124" i="6"/>
  <c r="F124" i="6"/>
  <c r="N120" i="6"/>
  <c r="J120" i="6"/>
  <c r="F120" i="6"/>
  <c r="N119" i="6"/>
  <c r="J119" i="6"/>
  <c r="F119" i="6"/>
  <c r="N118" i="6"/>
  <c r="J118" i="6"/>
  <c r="F118" i="6"/>
  <c r="N117" i="6"/>
  <c r="J117" i="6"/>
  <c r="F117" i="6"/>
  <c r="N115" i="6"/>
  <c r="J115" i="6"/>
  <c r="F115" i="6"/>
  <c r="N114" i="6"/>
  <c r="J114" i="6"/>
  <c r="F114" i="6"/>
  <c r="N108" i="6"/>
  <c r="J108" i="6"/>
  <c r="F108" i="6"/>
  <c r="N125" i="6"/>
  <c r="J125" i="6"/>
  <c r="F125" i="6"/>
  <c r="N106" i="6"/>
  <c r="J106" i="6"/>
  <c r="F106" i="6"/>
  <c r="N116" i="6"/>
  <c r="J116" i="6"/>
  <c r="F116" i="6"/>
  <c r="N113" i="6"/>
  <c r="J113" i="6"/>
  <c r="F113" i="6"/>
  <c r="N112" i="6"/>
  <c r="J112" i="6"/>
  <c r="F112" i="6"/>
  <c r="N107" i="6"/>
  <c r="J107" i="6"/>
  <c r="F107" i="6"/>
  <c r="N103" i="6"/>
  <c r="J103" i="6"/>
  <c r="F103" i="6"/>
  <c r="N105" i="6"/>
  <c r="J105" i="6"/>
  <c r="F105" i="6"/>
  <c r="N111" i="6"/>
  <c r="J111" i="6"/>
  <c r="F111" i="6"/>
  <c r="N110" i="6"/>
  <c r="J110" i="6"/>
  <c r="F110" i="6"/>
  <c r="N109" i="6"/>
  <c r="J109" i="6"/>
  <c r="F109" i="6"/>
  <c r="N104" i="6"/>
  <c r="J104" i="6"/>
  <c r="F104" i="6"/>
  <c r="N101" i="6"/>
  <c r="J101" i="6"/>
  <c r="F101" i="6"/>
  <c r="N100" i="6"/>
  <c r="J100" i="6"/>
  <c r="F100" i="6"/>
  <c r="N99" i="6"/>
  <c r="J99" i="6"/>
  <c r="F99" i="6"/>
  <c r="N102" i="6"/>
  <c r="J102" i="6"/>
  <c r="F102" i="6"/>
  <c r="BI19" i="6"/>
  <c r="BI20" i="6"/>
  <c r="BI21" i="6"/>
  <c r="BI22" i="6"/>
  <c r="BI43" i="6"/>
  <c r="BI42" i="6"/>
  <c r="BI41" i="6"/>
  <c r="BI40" i="6"/>
  <c r="BI39" i="6"/>
  <c r="BI38" i="6"/>
  <c r="BI37" i="6"/>
  <c r="BI36" i="6"/>
  <c r="BI35" i="6"/>
  <c r="BI34" i="6"/>
  <c r="BI33" i="6"/>
  <c r="BI32" i="6"/>
  <c r="BI31" i="6"/>
  <c r="BI30" i="6"/>
  <c r="BI29" i="6"/>
  <c r="BI28" i="6"/>
  <c r="BI27" i="6"/>
  <c r="BI26" i="6"/>
  <c r="BI25" i="6"/>
  <c r="BI24" i="6"/>
  <c r="BI23" i="6"/>
  <c r="BI18" i="6"/>
  <c r="BI17" i="6"/>
  <c r="BI16" i="6"/>
  <c r="BI15" i="6"/>
  <c r="BI14" i="6"/>
  <c r="BI13" i="6"/>
  <c r="BI12" i="6"/>
  <c r="BI11" i="6"/>
  <c r="BI10" i="6"/>
  <c r="BI9" i="6"/>
  <c r="BI8" i="6"/>
  <c r="BI7" i="6"/>
  <c r="Q46" i="6"/>
  <c r="M46" i="6"/>
  <c r="I46" i="6"/>
  <c r="E46" i="6"/>
  <c r="F101" i="14"/>
  <c r="D101" i="14"/>
  <c r="F80" i="14"/>
  <c r="D80" i="14"/>
  <c r="L349" i="13"/>
  <c r="B320" i="13"/>
  <c r="BB338" i="13"/>
  <c r="BA338" i="13"/>
  <c r="AZ338" i="13"/>
  <c r="AY338" i="13"/>
  <c r="AX338" i="13"/>
  <c r="AW338" i="13"/>
  <c r="AV338" i="13"/>
  <c r="AU338" i="13"/>
  <c r="AT338" i="13"/>
  <c r="AS338" i="13"/>
  <c r="AR338" i="13"/>
  <c r="AQ338" i="13"/>
  <c r="AP338" i="13"/>
  <c r="AO338" i="13"/>
  <c r="AN338" i="13"/>
  <c r="AM338" i="13"/>
  <c r="AL338" i="13"/>
  <c r="AK338" i="13"/>
  <c r="AJ338" i="13"/>
  <c r="AI338" i="13"/>
  <c r="AH338" i="13"/>
  <c r="AG338" i="13"/>
  <c r="AF338" i="13"/>
  <c r="AE338" i="13"/>
  <c r="AD338" i="13"/>
  <c r="AC338" i="13"/>
  <c r="BB351" i="13"/>
  <c r="BA351" i="13"/>
  <c r="AZ351" i="13"/>
  <c r="AY351" i="13"/>
  <c r="AX351" i="13"/>
  <c r="AW351" i="13"/>
  <c r="AV351" i="13"/>
  <c r="AU351" i="13"/>
  <c r="AT351" i="13"/>
  <c r="AS351" i="13"/>
  <c r="AR351" i="13"/>
  <c r="AQ351" i="13"/>
  <c r="AP351" i="13"/>
  <c r="AO351" i="13"/>
  <c r="AN351" i="13"/>
  <c r="AM351" i="13"/>
  <c r="AL351" i="13"/>
  <c r="AK351" i="13"/>
  <c r="AJ351" i="13"/>
  <c r="AI351" i="13"/>
  <c r="AH351" i="13"/>
  <c r="AG351" i="13"/>
  <c r="AF351" i="13"/>
  <c r="AE351" i="13"/>
  <c r="AD351" i="13"/>
  <c r="AC351" i="13"/>
  <c r="BB363" i="13"/>
  <c r="BA363" i="13"/>
  <c r="AZ363" i="13"/>
  <c r="AY363" i="13"/>
  <c r="AX363" i="13"/>
  <c r="AW363" i="13"/>
  <c r="AV363" i="13"/>
  <c r="AU363" i="13"/>
  <c r="AT363" i="13"/>
  <c r="AS363" i="13"/>
  <c r="AR363" i="13"/>
  <c r="AQ363" i="13"/>
  <c r="AP363" i="13"/>
  <c r="AO363" i="13"/>
  <c r="AN363" i="13"/>
  <c r="AM363" i="13"/>
  <c r="AL363" i="13"/>
  <c r="AK363" i="13"/>
  <c r="AJ363" i="13"/>
  <c r="AI363" i="13"/>
  <c r="AH363" i="13"/>
  <c r="AG363" i="13"/>
  <c r="AF363" i="13"/>
  <c r="AE363" i="13"/>
  <c r="AD363" i="13"/>
  <c r="AC363" i="13"/>
  <c r="BB359" i="13"/>
  <c r="BA359" i="13"/>
  <c r="AZ359" i="13"/>
  <c r="AY359" i="13"/>
  <c r="AX359" i="13"/>
  <c r="AW359" i="13"/>
  <c r="AV359" i="13"/>
  <c r="AU359" i="13"/>
  <c r="AT359" i="13"/>
  <c r="AS359" i="13"/>
  <c r="AR359" i="13"/>
  <c r="AQ359" i="13"/>
  <c r="AP359" i="13"/>
  <c r="AO359" i="13"/>
  <c r="AN359" i="13"/>
  <c r="AM359" i="13"/>
  <c r="AL359" i="13"/>
  <c r="AK359" i="13"/>
  <c r="AJ359" i="13"/>
  <c r="AI359" i="13"/>
  <c r="AH359" i="13"/>
  <c r="AG359" i="13"/>
  <c r="AF359" i="13"/>
  <c r="AE359" i="13"/>
  <c r="AD359" i="13"/>
  <c r="AC359" i="13"/>
  <c r="BB362" i="13"/>
  <c r="BA362" i="13"/>
  <c r="AZ362" i="13"/>
  <c r="AY362" i="13"/>
  <c r="AX362" i="13"/>
  <c r="AW362" i="13"/>
  <c r="AV362" i="13"/>
  <c r="AU362" i="13"/>
  <c r="AT362" i="13"/>
  <c r="AS362" i="13"/>
  <c r="AR362" i="13"/>
  <c r="AQ362" i="13"/>
  <c r="AP362" i="13"/>
  <c r="AO362" i="13"/>
  <c r="AN362" i="13"/>
  <c r="AM362" i="13"/>
  <c r="AL362" i="13"/>
  <c r="AK362" i="13"/>
  <c r="AJ362" i="13"/>
  <c r="AI362" i="13"/>
  <c r="AH362" i="13"/>
  <c r="AG362" i="13"/>
  <c r="AF362" i="13"/>
  <c r="AE362" i="13"/>
  <c r="AD362" i="13"/>
  <c r="AC362" i="13"/>
  <c r="BB256" i="13"/>
  <c r="BA256" i="13"/>
  <c r="AZ256" i="13"/>
  <c r="AY256" i="13"/>
  <c r="AX256" i="13"/>
  <c r="AW256" i="13"/>
  <c r="AV256" i="13"/>
  <c r="AU256" i="13"/>
  <c r="AT256" i="13"/>
  <c r="AS256" i="13"/>
  <c r="AR256" i="13"/>
  <c r="AQ256" i="13"/>
  <c r="AP256" i="13"/>
  <c r="AO256" i="13"/>
  <c r="AN256" i="13"/>
  <c r="AM256" i="13"/>
  <c r="AL256" i="13"/>
  <c r="AK256" i="13"/>
  <c r="AJ256" i="13"/>
  <c r="AI256" i="13"/>
  <c r="AH256" i="13"/>
  <c r="AG256" i="13"/>
  <c r="AF256" i="13"/>
  <c r="AE256" i="13"/>
  <c r="AD256" i="13"/>
  <c r="AC256" i="13"/>
  <c r="BB210" i="13"/>
  <c r="BA210" i="13"/>
  <c r="AZ210" i="13"/>
  <c r="AY210" i="13"/>
  <c r="AX210" i="13"/>
  <c r="AW210" i="13"/>
  <c r="AV210" i="13"/>
  <c r="AU210" i="13"/>
  <c r="AT210" i="13"/>
  <c r="AS210" i="13"/>
  <c r="AR210" i="13"/>
  <c r="AQ210" i="13"/>
  <c r="AP210" i="13"/>
  <c r="AO210" i="13"/>
  <c r="AN210" i="13"/>
  <c r="AM210" i="13"/>
  <c r="AL210" i="13"/>
  <c r="AK210" i="13"/>
  <c r="AJ210" i="13"/>
  <c r="AI210" i="13"/>
  <c r="AH210" i="13"/>
  <c r="AG210" i="13"/>
  <c r="AF210" i="13"/>
  <c r="AE210" i="13"/>
  <c r="AD210" i="13"/>
  <c r="AC210" i="13"/>
  <c r="BB76" i="13"/>
  <c r="BA76" i="13"/>
  <c r="AZ76" i="13"/>
  <c r="AY76" i="13"/>
  <c r="AX76" i="13"/>
  <c r="AW76" i="13"/>
  <c r="AV76" i="13"/>
  <c r="AU76" i="13"/>
  <c r="AT76" i="13"/>
  <c r="AS76" i="13"/>
  <c r="AR76" i="13"/>
  <c r="AQ76" i="13"/>
  <c r="AP76" i="13"/>
  <c r="AO76" i="13"/>
  <c r="AN76" i="13"/>
  <c r="AM76" i="13"/>
  <c r="AL76" i="13"/>
  <c r="AK76" i="13"/>
  <c r="AJ76" i="13"/>
  <c r="AI76" i="13"/>
  <c r="AH76" i="13"/>
  <c r="AG76" i="13"/>
  <c r="AF76" i="13"/>
  <c r="AE76" i="13"/>
  <c r="AD76" i="13"/>
  <c r="AC76" i="13"/>
  <c r="BB302" i="13"/>
  <c r="BA302" i="13"/>
  <c r="AZ302" i="13"/>
  <c r="AY302" i="13"/>
  <c r="AX302" i="13"/>
  <c r="AW302" i="13"/>
  <c r="AV302" i="13"/>
  <c r="AU302" i="13"/>
  <c r="AT302" i="13"/>
  <c r="AS302" i="13"/>
  <c r="AR302" i="13"/>
  <c r="AQ302" i="13"/>
  <c r="AP302" i="13"/>
  <c r="AO302" i="13"/>
  <c r="AN302" i="13"/>
  <c r="AM302" i="13"/>
  <c r="AL302" i="13"/>
  <c r="AK302" i="13"/>
  <c r="AJ302" i="13"/>
  <c r="AI302" i="13"/>
  <c r="AH302" i="13"/>
  <c r="AG302" i="13"/>
  <c r="AF302" i="13"/>
  <c r="AE302" i="13"/>
  <c r="AD302" i="13"/>
  <c r="AC302" i="13"/>
  <c r="BB418" i="13"/>
  <c r="BA418" i="13"/>
  <c r="AZ418" i="13"/>
  <c r="AY418" i="13"/>
  <c r="AX418" i="13"/>
  <c r="AW418" i="13"/>
  <c r="AV418" i="13"/>
  <c r="AU418" i="13"/>
  <c r="AT418" i="13"/>
  <c r="AS418" i="13"/>
  <c r="AR418" i="13"/>
  <c r="AQ418" i="13"/>
  <c r="AP418" i="13"/>
  <c r="AO418" i="13"/>
  <c r="AN418" i="13"/>
  <c r="AM418" i="13"/>
  <c r="AL418" i="13"/>
  <c r="AK418" i="13"/>
  <c r="AJ418" i="13"/>
  <c r="AI418" i="13"/>
  <c r="AH418" i="13"/>
  <c r="AG418" i="13"/>
  <c r="AF418" i="13"/>
  <c r="AE418" i="13"/>
  <c r="AD418" i="13"/>
  <c r="AC418" i="13"/>
  <c r="BB85" i="13"/>
  <c r="BA85" i="13"/>
  <c r="AZ85" i="13"/>
  <c r="AY85" i="13"/>
  <c r="AX85" i="13"/>
  <c r="AW85" i="13"/>
  <c r="AV85" i="13"/>
  <c r="AU85" i="13"/>
  <c r="AT85" i="13"/>
  <c r="AS85" i="13"/>
  <c r="AR85" i="13"/>
  <c r="AQ85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BB377" i="13"/>
  <c r="BA377" i="13"/>
  <c r="AZ377" i="13"/>
  <c r="AY377" i="13"/>
  <c r="AX377" i="13"/>
  <c r="AW377" i="13"/>
  <c r="AV377" i="13"/>
  <c r="AU377" i="13"/>
  <c r="AT377" i="13"/>
  <c r="AS377" i="13"/>
  <c r="AR377" i="13"/>
  <c r="AQ377" i="13"/>
  <c r="AP377" i="13"/>
  <c r="AO377" i="13"/>
  <c r="AN377" i="13"/>
  <c r="AM377" i="13"/>
  <c r="AL377" i="13"/>
  <c r="AK377" i="13"/>
  <c r="AJ377" i="13"/>
  <c r="AI377" i="13"/>
  <c r="AH377" i="13"/>
  <c r="AG377" i="13"/>
  <c r="AF377" i="13"/>
  <c r="AE377" i="13"/>
  <c r="AD377" i="13"/>
  <c r="AC377" i="13"/>
  <c r="BB145" i="13"/>
  <c r="BA145" i="13"/>
  <c r="AZ145" i="13"/>
  <c r="AY145" i="13"/>
  <c r="AX145" i="13"/>
  <c r="AW145" i="13"/>
  <c r="AV145" i="13"/>
  <c r="AU145" i="13"/>
  <c r="AT145" i="13"/>
  <c r="AS145" i="13"/>
  <c r="AR145" i="13"/>
  <c r="AQ145" i="13"/>
  <c r="AP145" i="13"/>
  <c r="AO145" i="13"/>
  <c r="AN145" i="13"/>
  <c r="AM145" i="13"/>
  <c r="AL145" i="13"/>
  <c r="AK145" i="13"/>
  <c r="AJ145" i="13"/>
  <c r="AI145" i="13"/>
  <c r="AH145" i="13"/>
  <c r="AG145" i="13"/>
  <c r="AF145" i="13"/>
  <c r="AE145" i="13"/>
  <c r="AD145" i="13"/>
  <c r="AC145" i="13"/>
  <c r="BB138" i="13"/>
  <c r="BA138" i="13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I138" i="13"/>
  <c r="AH138" i="13"/>
  <c r="AG138" i="13"/>
  <c r="AF138" i="13"/>
  <c r="AE138" i="13"/>
  <c r="AD138" i="13"/>
  <c r="AC138" i="13"/>
  <c r="AZ138" i="13"/>
  <c r="BB436" i="13"/>
  <c r="BA436" i="13"/>
  <c r="AZ436" i="13"/>
  <c r="AY436" i="13"/>
  <c r="AX436" i="13"/>
  <c r="AW436" i="13"/>
  <c r="AV436" i="13"/>
  <c r="AU436" i="13"/>
  <c r="AT436" i="13"/>
  <c r="AS436" i="13"/>
  <c r="AR436" i="13"/>
  <c r="AQ436" i="13"/>
  <c r="AP436" i="13"/>
  <c r="AO436" i="13"/>
  <c r="AN436" i="13"/>
  <c r="AM436" i="13"/>
  <c r="AL436" i="13"/>
  <c r="AK436" i="13"/>
  <c r="AJ436" i="13"/>
  <c r="AI436" i="13"/>
  <c r="AH436" i="13"/>
  <c r="AG436" i="13"/>
  <c r="AF436" i="13"/>
  <c r="AE436" i="13"/>
  <c r="AD436" i="13"/>
  <c r="AC436" i="13"/>
  <c r="BB242" i="13"/>
  <c r="BA242" i="13"/>
  <c r="AZ242" i="13"/>
  <c r="AY242" i="13"/>
  <c r="AX242" i="13"/>
  <c r="AW242" i="13"/>
  <c r="AV242" i="13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I242" i="13"/>
  <c r="AH242" i="13"/>
  <c r="AG242" i="13"/>
  <c r="AF242" i="13"/>
  <c r="AE242" i="13"/>
  <c r="AD242" i="13"/>
  <c r="AC24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B22" i="13"/>
  <c r="BB277" i="13"/>
  <c r="BA277" i="13"/>
  <c r="AZ277" i="13"/>
  <c r="AY277" i="13"/>
  <c r="AX277" i="13"/>
  <c r="AW277" i="13"/>
  <c r="AV277" i="13"/>
  <c r="AU277" i="13"/>
  <c r="AT277" i="13"/>
  <c r="AS277" i="13"/>
  <c r="AR277" i="13"/>
  <c r="AQ277" i="13"/>
  <c r="AO277" i="13"/>
  <c r="AN277" i="13"/>
  <c r="AM277" i="13"/>
  <c r="AL277" i="13"/>
  <c r="AK277" i="13"/>
  <c r="AJ277" i="13"/>
  <c r="AI277" i="13"/>
  <c r="AH277" i="13"/>
  <c r="AG277" i="13"/>
  <c r="AF277" i="13"/>
  <c r="AE277" i="13"/>
  <c r="AD277" i="13"/>
  <c r="AC277" i="13"/>
  <c r="AP277" i="13"/>
  <c r="BB393" i="13"/>
  <c r="BA393" i="13"/>
  <c r="AZ393" i="13"/>
  <c r="AY393" i="13"/>
  <c r="AX393" i="13"/>
  <c r="AW393" i="13"/>
  <c r="AV393" i="13"/>
  <c r="AU393" i="13"/>
  <c r="AT393" i="13"/>
  <c r="AS393" i="13"/>
  <c r="AR393" i="13"/>
  <c r="AQ393" i="13"/>
  <c r="AP393" i="13"/>
  <c r="AO393" i="13"/>
  <c r="AN393" i="13"/>
  <c r="AM393" i="13"/>
  <c r="AL393" i="13"/>
  <c r="AK393" i="13"/>
  <c r="AJ393" i="13"/>
  <c r="AI393" i="13"/>
  <c r="AH393" i="13"/>
  <c r="AG393" i="13"/>
  <c r="AF393" i="13"/>
  <c r="AE393" i="13"/>
  <c r="AC393" i="13"/>
  <c r="AD393" i="13"/>
  <c r="BB441" i="13"/>
  <c r="BB440" i="13"/>
  <c r="BB439" i="13"/>
  <c r="BB438" i="13"/>
  <c r="BB437" i="13"/>
  <c r="BB23" i="13"/>
  <c r="BB21" i="13"/>
  <c r="BB17" i="13"/>
  <c r="BB31" i="13"/>
  <c r="BB40" i="13"/>
  <c r="BB237" i="13"/>
  <c r="BB32" i="13"/>
  <c r="BB19" i="13"/>
  <c r="BB27" i="13"/>
  <c r="BB14" i="13"/>
  <c r="BB35" i="13"/>
  <c r="BB33" i="13"/>
  <c r="BB18" i="13"/>
  <c r="BB29" i="13"/>
  <c r="BB25" i="13"/>
  <c r="BB37" i="13"/>
  <c r="BB26" i="13"/>
  <c r="BB39" i="13"/>
  <c r="BB435" i="13"/>
  <c r="BB434" i="13"/>
  <c r="BB433" i="13"/>
  <c r="BB432" i="13"/>
  <c r="BB431" i="13"/>
  <c r="BB430" i="13"/>
  <c r="BB429" i="13"/>
  <c r="BB428" i="13"/>
  <c r="BB427" i="13"/>
  <c r="BB426" i="13"/>
  <c r="BB425" i="13"/>
  <c r="BB424" i="13"/>
  <c r="BB423" i="13"/>
  <c r="BB422" i="13"/>
  <c r="BB421" i="13"/>
  <c r="BB420" i="13"/>
  <c r="BB419" i="13"/>
  <c r="BB417" i="13"/>
  <c r="BB416" i="13"/>
  <c r="BB415" i="13"/>
  <c r="BB414" i="13"/>
  <c r="BB413" i="13"/>
  <c r="BB412" i="13"/>
  <c r="BB411" i="13"/>
  <c r="BB410" i="13"/>
  <c r="BB409" i="13"/>
  <c r="BB408" i="13"/>
  <c r="BB407" i="13"/>
  <c r="BB406" i="13"/>
  <c r="BB405" i="13"/>
  <c r="BB404" i="13"/>
  <c r="BB403" i="13"/>
  <c r="BB402" i="13"/>
  <c r="BB401" i="13"/>
  <c r="BB400" i="13"/>
  <c r="BB399" i="13"/>
  <c r="BB398" i="13"/>
  <c r="BB397" i="13"/>
  <c r="BB396" i="13"/>
  <c r="BB395" i="13"/>
  <c r="BB394" i="13"/>
  <c r="BB392" i="13"/>
  <c r="BB391" i="13"/>
  <c r="BB390" i="13"/>
  <c r="BB389" i="13"/>
  <c r="BB388" i="13"/>
  <c r="BB387" i="13"/>
  <c r="BB386" i="13"/>
  <c r="BB385" i="13"/>
  <c r="BB384" i="13"/>
  <c r="BB383" i="13"/>
  <c r="BB382" i="13"/>
  <c r="BB381" i="13"/>
  <c r="BB380" i="13"/>
  <c r="BB379" i="13"/>
  <c r="BB378" i="13"/>
  <c r="BB376" i="13"/>
  <c r="BB375" i="13"/>
  <c r="BB374" i="13"/>
  <c r="BB373" i="13"/>
  <c r="BB372" i="13"/>
  <c r="BB371" i="13"/>
  <c r="BB370" i="13"/>
  <c r="BB369" i="13"/>
  <c r="BB368" i="13"/>
  <c r="BB367" i="13"/>
  <c r="BB366" i="13"/>
  <c r="BB365" i="13"/>
  <c r="BB364" i="13"/>
  <c r="BB361" i="13"/>
  <c r="BB360" i="13"/>
  <c r="BB358" i="13"/>
  <c r="BB357" i="13"/>
  <c r="BB356" i="13"/>
  <c r="BB355" i="13"/>
  <c r="BB354" i="13"/>
  <c r="BB353" i="13"/>
  <c r="BB352" i="13"/>
  <c r="BB350" i="13"/>
  <c r="BB349" i="13"/>
  <c r="BB28" i="13"/>
  <c r="BB348" i="13"/>
  <c r="BB347" i="13"/>
  <c r="BB346" i="13"/>
  <c r="BB345" i="13"/>
  <c r="BB344" i="13"/>
  <c r="BB343" i="13"/>
  <c r="BB342" i="13"/>
  <c r="BB341" i="13"/>
  <c r="BB340" i="13"/>
  <c r="BB339" i="13"/>
  <c r="BB337" i="13"/>
  <c r="BB336" i="13"/>
  <c r="BB335" i="13"/>
  <c r="BB334" i="13"/>
  <c r="BB333" i="13"/>
  <c r="BB332" i="13"/>
  <c r="BB331" i="13"/>
  <c r="BB330" i="13"/>
  <c r="BB329" i="13"/>
  <c r="BB328" i="13"/>
  <c r="BB327" i="13"/>
  <c r="BB326" i="13"/>
  <c r="BB325" i="13"/>
  <c r="BB324" i="13"/>
  <c r="BB323" i="13"/>
  <c r="BB322" i="13"/>
  <c r="BB321" i="13"/>
  <c r="BB320" i="13"/>
  <c r="BB319" i="13"/>
  <c r="BB318" i="13"/>
  <c r="BB317" i="13"/>
  <c r="BB316" i="13"/>
  <c r="BB315" i="13"/>
  <c r="BB314" i="13"/>
  <c r="BB313" i="13"/>
  <c r="BB312" i="13"/>
  <c r="BB311" i="13"/>
  <c r="BB310" i="13"/>
  <c r="BB309" i="13"/>
  <c r="BB308" i="13"/>
  <c r="BB307" i="13"/>
  <c r="BB306" i="13"/>
  <c r="BB305" i="13"/>
  <c r="BB304" i="13"/>
  <c r="BB303" i="13"/>
  <c r="BB301" i="13"/>
  <c r="BB300" i="13"/>
  <c r="BB299" i="13"/>
  <c r="BB298" i="13"/>
  <c r="BB297" i="13"/>
  <c r="BB296" i="13"/>
  <c r="BB24" i="13"/>
  <c r="BB295" i="13"/>
  <c r="BB294" i="13"/>
  <c r="BB293" i="13"/>
  <c r="BB292" i="13"/>
  <c r="BB291" i="13"/>
  <c r="BB290" i="13"/>
  <c r="BB289" i="13"/>
  <c r="BB36" i="13"/>
  <c r="BB288" i="13"/>
  <c r="BB287" i="13"/>
  <c r="BB286" i="13"/>
  <c r="BB285" i="13"/>
  <c r="BB284" i="13"/>
  <c r="BB283" i="13"/>
  <c r="BB282" i="13"/>
  <c r="BB281" i="13"/>
  <c r="BB280" i="13"/>
  <c r="BB279" i="13"/>
  <c r="BB278" i="13"/>
  <c r="BB276" i="13"/>
  <c r="BB275" i="13"/>
  <c r="BB274" i="13"/>
  <c r="BB273" i="13"/>
  <c r="BB272" i="13"/>
  <c r="BB271" i="13"/>
  <c r="BB270" i="13"/>
  <c r="BB269" i="13"/>
  <c r="BB268" i="13"/>
  <c r="BB267" i="13"/>
  <c r="BB266" i="13"/>
  <c r="BB265" i="13"/>
  <c r="BB264" i="13"/>
  <c r="BB263" i="13"/>
  <c r="BB262" i="13"/>
  <c r="BB261" i="13"/>
  <c r="BB260" i="13"/>
  <c r="BB259" i="13"/>
  <c r="BB258" i="13"/>
  <c r="BB257" i="13"/>
  <c r="BB255" i="13"/>
  <c r="BB254" i="13"/>
  <c r="BB253" i="13"/>
  <c r="BB252" i="13"/>
  <c r="BB251" i="13"/>
  <c r="BB250" i="13"/>
  <c r="BB249" i="13"/>
  <c r="BB248" i="13"/>
  <c r="BB247" i="13"/>
  <c r="BB246" i="13"/>
  <c r="BB245" i="13"/>
  <c r="BB244" i="13"/>
  <c r="BB243" i="13"/>
  <c r="BB241" i="13"/>
  <c r="BB240" i="13"/>
  <c r="BB239" i="13"/>
  <c r="BB238" i="13"/>
  <c r="BB236" i="13"/>
  <c r="BB235" i="13"/>
  <c r="BB234" i="13"/>
  <c r="BB233" i="13"/>
  <c r="BB232" i="13"/>
  <c r="BB231" i="13"/>
  <c r="BB230" i="13"/>
  <c r="BB229" i="13"/>
  <c r="BB228" i="13"/>
  <c r="BB227" i="13"/>
  <c r="BB226" i="13"/>
  <c r="BB225" i="13"/>
  <c r="BB224" i="13"/>
  <c r="BB223" i="13"/>
  <c r="BB20" i="13"/>
  <c r="BB222" i="13"/>
  <c r="BB221" i="13"/>
  <c r="BB220" i="13"/>
  <c r="BB219" i="13"/>
  <c r="BB218" i="13"/>
  <c r="BB217" i="13"/>
  <c r="BB216" i="13"/>
  <c r="BB215" i="13"/>
  <c r="BB214" i="13"/>
  <c r="BB213" i="13"/>
  <c r="BB212" i="13"/>
  <c r="BB211" i="13"/>
  <c r="BB209" i="13"/>
  <c r="BB208" i="13"/>
  <c r="BB207" i="13"/>
  <c r="BB206" i="13"/>
  <c r="BB205" i="13"/>
  <c r="BB204" i="13"/>
  <c r="BB203" i="13"/>
  <c r="BB202" i="13"/>
  <c r="BB201" i="13"/>
  <c r="BB200" i="13"/>
  <c r="BB199" i="13"/>
  <c r="BB198" i="13"/>
  <c r="BB197" i="13"/>
  <c r="BB196" i="13"/>
  <c r="BB195" i="13"/>
  <c r="BB194" i="13"/>
  <c r="BB193" i="13"/>
  <c r="BB192" i="13"/>
  <c r="BB191" i="13"/>
  <c r="BB190" i="13"/>
  <c r="BB189" i="13"/>
  <c r="BB188" i="13"/>
  <c r="BB187" i="13"/>
  <c r="BB186" i="13"/>
  <c r="BB185" i="13"/>
  <c r="BB184" i="13"/>
  <c r="BB183" i="13"/>
  <c r="BB182" i="13"/>
  <c r="BB181" i="13"/>
  <c r="BB180" i="13"/>
  <c r="BB179" i="13"/>
  <c r="BB178" i="13"/>
  <c r="BB177" i="13"/>
  <c r="BB176" i="13"/>
  <c r="BB175" i="13"/>
  <c r="BB174" i="13"/>
  <c r="BB173" i="13"/>
  <c r="BB172" i="13"/>
  <c r="BB171" i="13"/>
  <c r="BB170" i="13"/>
  <c r="BB169" i="13"/>
  <c r="BB168" i="13"/>
  <c r="BB167" i="13"/>
  <c r="BB166" i="13"/>
  <c r="BB165" i="13"/>
  <c r="BB164" i="13"/>
  <c r="BB163" i="13"/>
  <c r="BB162" i="13"/>
  <c r="BB161" i="13"/>
  <c r="BB160" i="13"/>
  <c r="BB159" i="13"/>
  <c r="BB158" i="13"/>
  <c r="BB157" i="13"/>
  <c r="BB156" i="13"/>
  <c r="BB155" i="13"/>
  <c r="BB154" i="13"/>
  <c r="BB153" i="13"/>
  <c r="BB152" i="13"/>
  <c r="BB151" i="13"/>
  <c r="BB150" i="13"/>
  <c r="BB149" i="13"/>
  <c r="BB148" i="13"/>
  <c r="BB147" i="13"/>
  <c r="BB146" i="13"/>
  <c r="BB144" i="13"/>
  <c r="BB143" i="13"/>
  <c r="BB142" i="13"/>
  <c r="BB141" i="13"/>
  <c r="BB140" i="13"/>
  <c r="BB139" i="13"/>
  <c r="BB137" i="13"/>
  <c r="BB136" i="13"/>
  <c r="BB135" i="13"/>
  <c r="BB134" i="13"/>
  <c r="BB133" i="13"/>
  <c r="BB132" i="13"/>
  <c r="BB131" i="13"/>
  <c r="BB130" i="13"/>
  <c r="BB129" i="13"/>
  <c r="BB128" i="13"/>
  <c r="BB127" i="13"/>
  <c r="BB126" i="13"/>
  <c r="BB125" i="13"/>
  <c r="BB124" i="13"/>
  <c r="BB123" i="13"/>
  <c r="BB122" i="13"/>
  <c r="BB121" i="13"/>
  <c r="BB120" i="13"/>
  <c r="BB119" i="13"/>
  <c r="BB118" i="13"/>
  <c r="BB117" i="13"/>
  <c r="BB116" i="13"/>
  <c r="BB115" i="13"/>
  <c r="BB114" i="13"/>
  <c r="BB113" i="13"/>
  <c r="BB112" i="13"/>
  <c r="BB111" i="13"/>
  <c r="BB110" i="13"/>
  <c r="BB109" i="13"/>
  <c r="BB108" i="13"/>
  <c r="BB16" i="13"/>
  <c r="BB15" i="13"/>
  <c r="BB107" i="13"/>
  <c r="BB106" i="13"/>
  <c r="BB105" i="13"/>
  <c r="BB104" i="13"/>
  <c r="BB103" i="13"/>
  <c r="BB102" i="13"/>
  <c r="BB101" i="13"/>
  <c r="BB100" i="13"/>
  <c r="BB99" i="13"/>
  <c r="BB98" i="13"/>
  <c r="BB97" i="13"/>
  <c r="BB96" i="13"/>
  <c r="BB95" i="13"/>
  <c r="BB94" i="13"/>
  <c r="BB93" i="13"/>
  <c r="BB92" i="13"/>
  <c r="BB91" i="13"/>
  <c r="BB90" i="13"/>
  <c r="BB89" i="13"/>
  <c r="BB88" i="13"/>
  <c r="BB87" i="13"/>
  <c r="BB86" i="13"/>
  <c r="BB84" i="13"/>
  <c r="BB83" i="13"/>
  <c r="BB82" i="13"/>
  <c r="BB81" i="13"/>
  <c r="BB80" i="13"/>
  <c r="BB79" i="13"/>
  <c r="BB78" i="13"/>
  <c r="BB77" i="13"/>
  <c r="BB75" i="13"/>
  <c r="BB74" i="13"/>
  <c r="BB73" i="13"/>
  <c r="BB72" i="13"/>
  <c r="BB71" i="13"/>
  <c r="BB70" i="13"/>
  <c r="BB69" i="13"/>
  <c r="BB68" i="13"/>
  <c r="BB67" i="13"/>
  <c r="BB66" i="13"/>
  <c r="BB65" i="13"/>
  <c r="BB64" i="13"/>
  <c r="BB63" i="13"/>
  <c r="BB62" i="13"/>
  <c r="BB61" i="13"/>
  <c r="BB60" i="13"/>
  <c r="BB13" i="13"/>
  <c r="BB34" i="13"/>
  <c r="BB12" i="13"/>
  <c r="BB11" i="13"/>
  <c r="BB10" i="13"/>
  <c r="BB9" i="13"/>
  <c r="BB8" i="13"/>
  <c r="BB38" i="13"/>
  <c r="BB7" i="13"/>
  <c r="BB5" i="13"/>
  <c r="BB59" i="13"/>
  <c r="BB58" i="13"/>
  <c r="BB57" i="13"/>
  <c r="BB56" i="13"/>
  <c r="BB55" i="13"/>
  <c r="BB54" i="13"/>
  <c r="BB53" i="13"/>
  <c r="BB52" i="13"/>
  <c r="BB51" i="13"/>
  <c r="BB50" i="13"/>
  <c r="BB6" i="13"/>
  <c r="BB30" i="13"/>
  <c r="BB49" i="13"/>
  <c r="BB48" i="13"/>
  <c r="BB47" i="13"/>
  <c r="BB46" i="13"/>
  <c r="BB45" i="13"/>
  <c r="BB44" i="13"/>
  <c r="BB43" i="13"/>
  <c r="BB42" i="13"/>
  <c r="BB41" i="13"/>
  <c r="BB2" i="13"/>
  <c r="M19" i="5"/>
  <c r="K19" i="5"/>
  <c r="Z5" i="10"/>
  <c r="AT70" i="10"/>
  <c r="AS70" i="10"/>
  <c r="AR70" i="10"/>
  <c r="AQ70" i="10"/>
  <c r="AP70" i="10"/>
  <c r="AO70" i="10"/>
  <c r="AN70" i="10"/>
  <c r="AM70" i="10"/>
  <c r="AL70" i="10"/>
  <c r="AK70" i="10"/>
  <c r="AJ70" i="10"/>
  <c r="AI70" i="10"/>
  <c r="AH70" i="10"/>
  <c r="AG70" i="10"/>
  <c r="AF70" i="10"/>
  <c r="AE70" i="10"/>
  <c r="AD70" i="10"/>
  <c r="AC70" i="10"/>
  <c r="AB70" i="10"/>
  <c r="AA70" i="10"/>
  <c r="Z70" i="10"/>
  <c r="AT84" i="10"/>
  <c r="AT83" i="10"/>
  <c r="AT82" i="10"/>
  <c r="AT81" i="10"/>
  <c r="AT80" i="10"/>
  <c r="AT15" i="10"/>
  <c r="AT79" i="10"/>
  <c r="AT14" i="10"/>
  <c r="AT20" i="10"/>
  <c r="AT78" i="10"/>
  <c r="AT13" i="10"/>
  <c r="AT77" i="10"/>
  <c r="AT76" i="10"/>
  <c r="AT75" i="10"/>
  <c r="AT74" i="10"/>
  <c r="AT73" i="10"/>
  <c r="AT72" i="10"/>
  <c r="AT69" i="10"/>
  <c r="AT67" i="10"/>
  <c r="AT66" i="10"/>
  <c r="AT65" i="10"/>
  <c r="AT64" i="10"/>
  <c r="AT63" i="10"/>
  <c r="AT61" i="10"/>
  <c r="AT60" i="10"/>
  <c r="AT59" i="10"/>
  <c r="AT58" i="10"/>
  <c r="AT56" i="10"/>
  <c r="AT55" i="10"/>
  <c r="AT53" i="10"/>
  <c r="AT52" i="10"/>
  <c r="AT51" i="10"/>
  <c r="AT50" i="10"/>
  <c r="AT8" i="10"/>
  <c r="AT47" i="10"/>
  <c r="AT46" i="10"/>
  <c r="AT42" i="10"/>
  <c r="AT7" i="10"/>
  <c r="AT6" i="10"/>
  <c r="AT41" i="10"/>
  <c r="AT40" i="10"/>
  <c r="AT30" i="10"/>
  <c r="AT18" i="10"/>
  <c r="AT9" i="10"/>
  <c r="AT21" i="10"/>
  <c r="AT34" i="10"/>
  <c r="AT27" i="10"/>
  <c r="AT23" i="10"/>
  <c r="AT28" i="10"/>
  <c r="AT19" i="10"/>
  <c r="AT36" i="10"/>
  <c r="AT37" i="10"/>
  <c r="AT17" i="10"/>
  <c r="AT38" i="10"/>
  <c r="AT12" i="10"/>
  <c r="AT16" i="10"/>
  <c r="AT22" i="10"/>
  <c r="AT5" i="10"/>
  <c r="AT24" i="10"/>
  <c r="AT32" i="10"/>
  <c r="AT31" i="10"/>
  <c r="AT29" i="10"/>
  <c r="AT25" i="10"/>
  <c r="AT33" i="10"/>
  <c r="AT35" i="10"/>
  <c r="AT39" i="10"/>
  <c r="AT26" i="10"/>
  <c r="AT11" i="10"/>
  <c r="AT10" i="10"/>
  <c r="AT71" i="10"/>
  <c r="AT68" i="10"/>
  <c r="AT62" i="10"/>
  <c r="AT57" i="10"/>
  <c r="AT54" i="10"/>
  <c r="AT49" i="10"/>
  <c r="AT48" i="10"/>
  <c r="AT45" i="10"/>
  <c r="AT44" i="10"/>
  <c r="AT43" i="10"/>
  <c r="AT2" i="10"/>
  <c r="A132" i="1"/>
  <c r="B211" i="9"/>
  <c r="A211" i="9"/>
  <c r="B210" i="9"/>
  <c r="A210" i="9"/>
  <c r="B178" i="9"/>
  <c r="A178" i="9"/>
  <c r="B222" i="2"/>
  <c r="A222" i="2"/>
  <c r="B189" i="2"/>
  <c r="A189" i="2"/>
  <c r="N114" i="12" l="1"/>
  <c r="O114" i="12" s="1"/>
  <c r="J115" i="12"/>
  <c r="N118" i="12"/>
  <c r="O118" i="12" s="1"/>
  <c r="N138" i="6"/>
  <c r="Y70" i="10"/>
  <c r="A222" i="1" l="1"/>
  <c r="O50" i="8"/>
  <c r="O161" i="4"/>
  <c r="P161" i="4"/>
  <c r="G161" i="4"/>
  <c r="G160" i="4"/>
  <c r="F160" i="4"/>
  <c r="K160" i="4" s="1"/>
  <c r="E160" i="4"/>
  <c r="E161" i="4"/>
  <c r="F161" i="4"/>
  <c r="P225" i="4"/>
  <c r="O225" i="4"/>
  <c r="G225" i="4"/>
  <c r="G224" i="4"/>
  <c r="F225" i="4"/>
  <c r="F224" i="4"/>
  <c r="E225" i="4"/>
  <c r="E224" i="4"/>
  <c r="P223" i="4"/>
  <c r="O223" i="4"/>
  <c r="G223" i="4"/>
  <c r="F223" i="4"/>
  <c r="E223" i="4"/>
  <c r="K223" i="4" s="1"/>
  <c r="G222" i="4"/>
  <c r="F222" i="4"/>
  <c r="E222" i="4"/>
  <c r="K222" i="4" s="1"/>
  <c r="L223" i="4" s="1"/>
  <c r="N223" i="4" s="1"/>
  <c r="K161" i="4" l="1"/>
  <c r="L161" i="4" s="1"/>
  <c r="N161" i="4" s="1"/>
  <c r="B49" i="9"/>
  <c r="A49" i="9"/>
  <c r="B49" i="2"/>
  <c r="A49" i="2"/>
  <c r="CR50" i="8"/>
  <c r="CO50" i="8"/>
  <c r="CL50" i="8"/>
  <c r="CI50" i="8"/>
  <c r="CF50" i="8"/>
  <c r="CC50" i="8"/>
  <c r="BZ50" i="8"/>
  <c r="BW50" i="8"/>
  <c r="BT50" i="8"/>
  <c r="BQ50" i="8"/>
  <c r="BN50" i="8"/>
  <c r="BK50" i="8"/>
  <c r="BH50" i="8"/>
  <c r="BE50" i="8"/>
  <c r="BB50" i="8"/>
  <c r="AY50" i="8"/>
  <c r="AV50" i="8"/>
  <c r="AS50" i="8"/>
  <c r="AP50" i="8"/>
  <c r="AM50" i="8"/>
  <c r="AJ50" i="8"/>
  <c r="AG50" i="8"/>
  <c r="AD50" i="8"/>
  <c r="AA50" i="8"/>
  <c r="X50" i="8"/>
  <c r="U50" i="8"/>
  <c r="R50" i="8"/>
  <c r="L50" i="8"/>
  <c r="I50" i="8"/>
  <c r="F50" i="8"/>
  <c r="C50" i="8"/>
  <c r="EA26" i="8" l="1"/>
  <c r="EC26" i="8" s="1"/>
  <c r="EA27" i="8"/>
  <c r="EC27" i="8" s="1"/>
  <c r="EA28" i="8"/>
  <c r="EC28" i="8" s="1"/>
  <c r="EA29" i="8"/>
  <c r="EC29" i="8" s="1"/>
  <c r="EA32" i="8"/>
  <c r="EC32" i="8" s="1"/>
  <c r="EA33" i="8"/>
  <c r="EC33" i="8" s="1"/>
  <c r="EA34" i="8"/>
  <c r="EC34" i="8" s="1"/>
  <c r="EA35" i="8"/>
  <c r="EC35" i="8" s="1"/>
  <c r="EA37" i="8"/>
  <c r="EC37" i="8" s="1"/>
  <c r="EA38" i="8"/>
  <c r="EC38" i="8" s="1"/>
  <c r="EA39" i="8"/>
  <c r="EC39" i="8" s="1"/>
  <c r="EA40" i="8"/>
  <c r="EC40" i="8" s="1"/>
  <c r="EA41" i="8"/>
  <c r="EC41" i="8" s="1"/>
  <c r="EA42" i="8"/>
  <c r="EC42" i="8" s="1"/>
  <c r="EA43" i="8"/>
  <c r="EC43" i="8" s="1"/>
  <c r="EA44" i="8"/>
  <c r="EC44" i="8" s="1"/>
  <c r="EA46" i="8"/>
  <c r="EC46" i="8" s="1"/>
  <c r="EA47" i="8"/>
  <c r="EC47" i="8" s="1"/>
  <c r="EA49" i="8"/>
  <c r="EC49" i="8" s="1"/>
  <c r="EA50" i="8"/>
  <c r="EC50" i="8" s="1"/>
  <c r="DJ45" i="8"/>
  <c r="EA45" i="8" s="1"/>
  <c r="EC45" i="8" s="1"/>
  <c r="CR48" i="8"/>
  <c r="EA48" i="8" s="1"/>
  <c r="EC48" i="8" s="1"/>
  <c r="CR30" i="8"/>
  <c r="BN36" i="8"/>
  <c r="AA31" i="8"/>
  <c r="AG31" i="8"/>
  <c r="AM31" i="8"/>
  <c r="AP36" i="8"/>
  <c r="AV31" i="8"/>
  <c r="BB30" i="8"/>
  <c r="BB36" i="8"/>
  <c r="BH36" i="8"/>
  <c r="BH30" i="8"/>
  <c r="EA31" i="8" l="1"/>
  <c r="EC31" i="8" s="1"/>
  <c r="EA30" i="8"/>
  <c r="EC30" i="8" s="1"/>
  <c r="EA36" i="8"/>
  <c r="EC36" i="8" s="1"/>
  <c r="ED50" i="8"/>
  <c r="EE50" i="8" s="1"/>
  <c r="N50" i="7" s="1"/>
  <c r="A50" i="8"/>
  <c r="I50" i="7"/>
  <c r="F50" i="7"/>
  <c r="C3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29" i="7"/>
  <c r="F28" i="7"/>
  <c r="F27" i="7"/>
  <c r="F26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29" i="7"/>
  <c r="I28" i="7"/>
  <c r="I27" i="7"/>
  <c r="I26" i="7"/>
  <c r="I30" i="7"/>
  <c r="F30" i="7"/>
  <c r="C30" i="7"/>
  <c r="C29" i="7"/>
  <c r="C28" i="7"/>
  <c r="C27" i="7"/>
  <c r="C26" i="7"/>
  <c r="I25" i="7"/>
  <c r="F25" i="7"/>
  <c r="C25" i="7"/>
  <c r="L50" i="7" l="1"/>
  <c r="M50" i="7" s="1"/>
  <c r="O45" i="5"/>
  <c r="N44" i="5"/>
  <c r="L44" i="5"/>
  <c r="J44" i="5"/>
  <c r="M18" i="5"/>
  <c r="K18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20" i="5"/>
  <c r="K20" i="5"/>
  <c r="M25" i="5"/>
  <c r="K25" i="5"/>
  <c r="M35" i="5"/>
  <c r="K35" i="5"/>
  <c r="M34" i="5"/>
  <c r="K34" i="5"/>
  <c r="M33" i="5"/>
  <c r="K33" i="5"/>
  <c r="M32" i="5"/>
  <c r="K32" i="5"/>
  <c r="M31" i="5"/>
  <c r="K31" i="5"/>
  <c r="M30" i="5"/>
  <c r="K30" i="5"/>
  <c r="M29" i="5"/>
  <c r="K29" i="5"/>
  <c r="M28" i="5"/>
  <c r="K28" i="5"/>
  <c r="M27" i="5"/>
  <c r="K27" i="5"/>
  <c r="M26" i="5"/>
  <c r="K26" i="5"/>
  <c r="M24" i="5"/>
  <c r="K24" i="5"/>
  <c r="M23" i="5"/>
  <c r="K23" i="5"/>
  <c r="M22" i="5"/>
  <c r="K22" i="5"/>
  <c r="M21" i="5"/>
  <c r="K21" i="5"/>
  <c r="M17" i="5"/>
  <c r="K17" i="5"/>
  <c r="M10" i="5"/>
  <c r="K10" i="5"/>
  <c r="M3" i="5"/>
  <c r="K3" i="5"/>
  <c r="M16" i="5"/>
  <c r="K16" i="5"/>
  <c r="M15" i="5"/>
  <c r="K15" i="5"/>
  <c r="M6" i="5"/>
  <c r="K6" i="5"/>
  <c r="M8" i="5"/>
  <c r="K8" i="5"/>
  <c r="M14" i="5"/>
  <c r="K14" i="5"/>
  <c r="M7" i="5"/>
  <c r="K7" i="5"/>
  <c r="M5" i="5"/>
  <c r="K5" i="5"/>
  <c r="M9" i="5"/>
  <c r="K9" i="5"/>
  <c r="M13" i="5"/>
  <c r="K13" i="5"/>
  <c r="M11" i="5"/>
  <c r="K11" i="5"/>
  <c r="M4" i="5"/>
  <c r="K4" i="5"/>
  <c r="M12" i="5"/>
  <c r="K12" i="5"/>
  <c r="O44" i="5" l="1"/>
  <c r="D91" i="14"/>
  <c r="F91" i="14"/>
  <c r="D58" i="14"/>
  <c r="F58" i="14"/>
  <c r="D55" i="14"/>
  <c r="F55" i="14"/>
  <c r="BA441" i="13"/>
  <c r="BA440" i="13"/>
  <c r="BA439" i="13"/>
  <c r="BA438" i="13"/>
  <c r="BA437" i="13"/>
  <c r="BA23" i="13"/>
  <c r="BA21" i="13"/>
  <c r="BA17" i="13"/>
  <c r="BA31" i="13"/>
  <c r="BA40" i="13"/>
  <c r="BA237" i="13"/>
  <c r="BA32" i="13"/>
  <c r="BA19" i="13"/>
  <c r="BA27" i="13"/>
  <c r="BA14" i="13"/>
  <c r="BA35" i="13"/>
  <c r="BA33" i="13"/>
  <c r="BA18" i="13"/>
  <c r="BA29" i="13"/>
  <c r="BA25" i="13"/>
  <c r="BA37" i="13"/>
  <c r="BA26" i="13"/>
  <c r="BA39" i="13"/>
  <c r="BA435" i="13"/>
  <c r="BA434" i="13"/>
  <c r="BA433" i="13"/>
  <c r="BA432" i="13"/>
  <c r="BA431" i="13"/>
  <c r="BA430" i="13"/>
  <c r="BA429" i="13"/>
  <c r="BA428" i="13"/>
  <c r="BA427" i="13"/>
  <c r="BA426" i="13"/>
  <c r="BA425" i="13"/>
  <c r="BA424" i="13"/>
  <c r="BA423" i="13"/>
  <c r="BA422" i="13"/>
  <c r="BA421" i="13"/>
  <c r="BA420" i="13"/>
  <c r="BA419" i="13"/>
  <c r="BA417" i="13"/>
  <c r="BA416" i="13"/>
  <c r="BA415" i="13"/>
  <c r="BA414" i="13"/>
  <c r="BA413" i="13"/>
  <c r="BA412" i="13"/>
  <c r="BA411" i="13"/>
  <c r="BA410" i="13"/>
  <c r="BA409" i="13"/>
  <c r="BA408" i="13"/>
  <c r="BA407" i="13"/>
  <c r="BA406" i="13"/>
  <c r="BA405" i="13"/>
  <c r="BA403" i="13"/>
  <c r="BA402" i="13"/>
  <c r="BA401" i="13"/>
  <c r="BA400" i="13"/>
  <c r="BA399" i="13"/>
  <c r="BA398" i="13"/>
  <c r="BA397" i="13"/>
  <c r="BA396" i="13"/>
  <c r="BA395" i="13"/>
  <c r="BA394" i="13"/>
  <c r="BA392" i="13"/>
  <c r="BA391" i="13"/>
  <c r="BA390" i="13"/>
  <c r="BA389" i="13"/>
  <c r="BA387" i="13"/>
  <c r="BA386" i="13"/>
  <c r="BA385" i="13"/>
  <c r="BA384" i="13"/>
  <c r="BA383" i="13"/>
  <c r="BA382" i="13"/>
  <c r="BA381" i="13"/>
  <c r="BA380" i="13"/>
  <c r="BA379" i="13"/>
  <c r="BA378" i="13"/>
  <c r="BA376" i="13"/>
  <c r="BA375" i="13"/>
  <c r="BA374" i="13"/>
  <c r="BA373" i="13"/>
  <c r="BA372" i="13"/>
  <c r="BA371" i="13"/>
  <c r="BA370" i="13"/>
  <c r="BA368" i="13"/>
  <c r="BA367" i="13"/>
  <c r="BA366" i="13"/>
  <c r="BA364" i="13"/>
  <c r="BA361" i="13"/>
  <c r="BA360" i="13"/>
  <c r="BA357" i="13"/>
  <c r="BA356" i="13"/>
  <c r="BA355" i="13"/>
  <c r="BA354" i="13"/>
  <c r="BA353" i="13"/>
  <c r="BA352" i="13"/>
  <c r="BA350" i="13"/>
  <c r="BA349" i="13"/>
  <c r="BA28" i="13"/>
  <c r="BA348" i="13"/>
  <c r="BA347" i="13"/>
  <c r="BA346" i="13"/>
  <c r="BA345" i="13"/>
  <c r="BA344" i="13"/>
  <c r="BA343" i="13"/>
  <c r="BA342" i="13"/>
  <c r="BA341" i="13"/>
  <c r="BA340" i="13"/>
  <c r="BA339" i="13"/>
  <c r="BA337" i="13"/>
  <c r="BA335" i="13"/>
  <c r="BA334" i="13"/>
  <c r="BA333" i="13"/>
  <c r="BA332" i="13"/>
  <c r="BA331" i="13"/>
  <c r="BA330" i="13"/>
  <c r="BA329" i="13"/>
  <c r="BA328" i="13"/>
  <c r="BA327" i="13"/>
  <c r="BA326" i="13"/>
  <c r="BA325" i="13"/>
  <c r="BA324" i="13"/>
  <c r="BA323" i="13"/>
  <c r="BA322" i="13"/>
  <c r="BA321" i="13"/>
  <c r="BA320" i="13"/>
  <c r="BA319" i="13"/>
  <c r="BA318" i="13"/>
  <c r="BA317" i="13"/>
  <c r="BA316" i="13"/>
  <c r="BA315" i="13"/>
  <c r="BA314" i="13"/>
  <c r="BA313" i="13"/>
  <c r="BA312" i="13"/>
  <c r="BA311" i="13"/>
  <c r="BA310" i="13"/>
  <c r="BA309" i="13"/>
  <c r="BA308" i="13"/>
  <c r="BA307" i="13"/>
  <c r="BA306" i="13"/>
  <c r="BA305" i="13"/>
  <c r="BA304" i="13"/>
  <c r="BA303" i="13"/>
  <c r="BA301" i="13"/>
  <c r="BA300" i="13"/>
  <c r="BA299" i="13"/>
  <c r="BA298" i="13"/>
  <c r="BA297" i="13"/>
  <c r="BA296" i="13"/>
  <c r="BA24" i="13"/>
  <c r="BA295" i="13"/>
  <c r="BA294" i="13"/>
  <c r="BA293" i="13"/>
  <c r="BA292" i="13"/>
  <c r="BA291" i="13"/>
  <c r="BA290" i="13"/>
  <c r="BA289" i="13"/>
  <c r="BA288" i="13"/>
  <c r="BA287" i="13"/>
  <c r="BA286" i="13"/>
  <c r="BA285" i="13"/>
  <c r="BA283" i="13"/>
  <c r="BA282" i="13"/>
  <c r="BA280" i="13"/>
  <c r="BA279" i="13"/>
  <c r="BA278" i="13"/>
  <c r="BA276" i="13"/>
  <c r="BA275" i="13"/>
  <c r="BA274" i="13"/>
  <c r="BA272" i="13"/>
  <c r="BA271" i="13"/>
  <c r="BA270" i="13"/>
  <c r="BA269" i="13"/>
  <c r="BA268" i="13"/>
  <c r="BA267" i="13"/>
  <c r="BA266" i="13"/>
  <c r="BA265" i="13"/>
  <c r="BA264" i="13"/>
  <c r="BA263" i="13"/>
  <c r="BA262" i="13"/>
  <c r="BA261" i="13"/>
  <c r="BA260" i="13"/>
  <c r="BA259" i="13"/>
  <c r="BA258" i="13"/>
  <c r="BA257" i="13"/>
  <c r="BA255" i="13"/>
  <c r="BA254" i="13"/>
  <c r="BA252" i="13"/>
  <c r="BA251" i="13"/>
  <c r="BA250" i="13"/>
  <c r="BA249" i="13"/>
  <c r="BA248" i="13"/>
  <c r="BA247" i="13"/>
  <c r="BA246" i="13"/>
  <c r="BA245" i="13"/>
  <c r="BA244" i="13"/>
  <c r="BA243" i="13"/>
  <c r="BA241" i="13"/>
  <c r="BA240" i="13"/>
  <c r="BA239" i="13"/>
  <c r="BA238" i="13"/>
  <c r="BA236" i="13"/>
  <c r="BA235" i="13"/>
  <c r="BA234" i="13"/>
  <c r="BA233" i="13"/>
  <c r="BA232" i="13"/>
  <c r="BA231" i="13"/>
  <c r="BA230" i="13"/>
  <c r="BA229" i="13"/>
  <c r="BA228" i="13"/>
  <c r="BA227" i="13"/>
  <c r="BA226" i="13"/>
  <c r="BA225" i="13"/>
  <c r="BA224" i="13"/>
  <c r="BA223" i="13"/>
  <c r="BA222" i="13"/>
  <c r="BA221" i="13"/>
  <c r="BA220" i="13"/>
  <c r="BA219" i="13"/>
  <c r="BA217" i="13"/>
  <c r="BA216" i="13"/>
  <c r="BA215" i="13"/>
  <c r="BA214" i="13"/>
  <c r="BA213" i="13"/>
  <c r="BA212" i="13"/>
  <c r="BA211" i="13"/>
  <c r="BA209" i="13"/>
  <c r="BA208" i="13"/>
  <c r="BA206" i="13"/>
  <c r="BA205" i="13"/>
  <c r="BA203" i="13"/>
  <c r="BA202" i="13"/>
  <c r="BA201" i="13"/>
  <c r="BA200" i="13"/>
  <c r="BA199" i="13"/>
  <c r="BA198" i="13"/>
  <c r="BA197" i="13"/>
  <c r="BA196" i="13"/>
  <c r="BA195" i="13"/>
  <c r="BA194" i="13"/>
  <c r="BA193" i="13"/>
  <c r="BA192" i="13"/>
  <c r="BA191" i="13"/>
  <c r="BA190" i="13"/>
  <c r="BA189" i="13"/>
  <c r="BA188" i="13"/>
  <c r="BA187" i="13"/>
  <c r="BA186" i="13"/>
  <c r="BA185" i="13"/>
  <c r="BA184" i="13"/>
  <c r="BA183" i="13"/>
  <c r="BA182" i="13"/>
  <c r="BA181" i="13"/>
  <c r="BA180" i="13"/>
  <c r="BA179" i="13"/>
  <c r="BA178" i="13"/>
  <c r="BA177" i="13"/>
  <c r="BA176" i="13"/>
  <c r="BA175" i="13"/>
  <c r="BA174" i="13"/>
  <c r="BA173" i="13"/>
  <c r="BA172" i="13"/>
  <c r="BA171" i="13"/>
  <c r="BA170" i="13"/>
  <c r="BA169" i="13"/>
  <c r="BA168" i="13"/>
  <c r="BA167" i="13"/>
  <c r="BA166" i="13"/>
  <c r="BA165" i="13"/>
  <c r="BA164" i="13"/>
  <c r="BA163" i="13"/>
  <c r="BA162" i="13"/>
  <c r="BA161" i="13"/>
  <c r="BA160" i="13"/>
  <c r="BA159" i="13"/>
  <c r="BA158" i="13"/>
  <c r="BA157" i="13"/>
  <c r="BA156" i="13"/>
  <c r="BA155" i="13"/>
  <c r="BA154" i="13"/>
  <c r="BA153" i="13"/>
  <c r="BA152" i="13"/>
  <c r="BA151" i="13"/>
  <c r="BA150" i="13"/>
  <c r="BA149" i="13"/>
  <c r="BA148" i="13"/>
  <c r="BA147" i="13"/>
  <c r="BA146" i="13"/>
  <c r="BA144" i="13"/>
  <c r="BA143" i="13"/>
  <c r="BA142" i="13"/>
  <c r="BA141" i="13"/>
  <c r="BA140" i="13"/>
  <c r="BA136" i="13"/>
  <c r="BA135" i="13"/>
  <c r="BA134" i="13"/>
  <c r="BA133" i="13"/>
  <c r="BA132" i="13"/>
  <c r="BA131" i="13"/>
  <c r="BA130" i="13"/>
  <c r="BA129" i="13"/>
  <c r="BA128" i="13"/>
  <c r="BA127" i="13"/>
  <c r="BA126" i="13"/>
  <c r="BA125" i="13"/>
  <c r="BA124" i="13"/>
  <c r="BA123" i="13"/>
  <c r="BA122" i="13"/>
  <c r="BA121" i="13"/>
  <c r="BA120" i="13"/>
  <c r="BA119" i="13"/>
  <c r="BA118" i="13"/>
  <c r="BA117" i="13"/>
  <c r="BA116" i="13"/>
  <c r="BA115" i="13"/>
  <c r="BA114" i="13"/>
  <c r="BA113" i="13"/>
  <c r="BA111" i="13"/>
  <c r="BA110" i="13"/>
  <c r="BA109" i="13"/>
  <c r="BA16" i="13"/>
  <c r="BA15" i="13"/>
  <c r="BA107" i="13"/>
  <c r="BA106" i="13"/>
  <c r="BA105" i="13"/>
  <c r="BA104" i="13"/>
  <c r="BA103" i="13"/>
  <c r="BA102" i="13"/>
  <c r="BA101" i="13"/>
  <c r="BA100" i="13"/>
  <c r="BA99" i="13"/>
  <c r="BA98" i="13"/>
  <c r="BA97" i="13"/>
  <c r="BA96" i="13"/>
  <c r="BA94" i="13"/>
  <c r="BA93" i="13"/>
  <c r="BA92" i="13"/>
  <c r="BA90" i="13"/>
  <c r="BA89" i="13"/>
  <c r="BA88" i="13"/>
  <c r="BA87" i="13"/>
  <c r="BA86" i="13"/>
  <c r="BA84" i="13"/>
  <c r="BA83" i="13"/>
  <c r="BA82" i="13"/>
  <c r="BA81" i="13"/>
  <c r="BA80" i="13"/>
  <c r="BA79" i="13"/>
  <c r="BA78" i="13"/>
  <c r="BA77" i="13"/>
  <c r="BA75" i="13"/>
  <c r="BA74" i="13"/>
  <c r="BA73" i="13"/>
  <c r="BA72" i="13"/>
  <c r="BA71" i="13"/>
  <c r="BA70" i="13"/>
  <c r="BA69" i="13"/>
  <c r="BA68" i="13"/>
  <c r="BA67" i="13"/>
  <c r="BA66" i="13"/>
  <c r="BA65" i="13"/>
  <c r="BA64" i="13"/>
  <c r="BA63" i="13"/>
  <c r="BA61" i="13"/>
  <c r="BA60" i="13"/>
  <c r="BA404" i="13"/>
  <c r="BA388" i="13"/>
  <c r="BA369" i="13"/>
  <c r="BA365" i="13"/>
  <c r="BA358" i="13"/>
  <c r="BA336" i="13"/>
  <c r="BA36" i="13"/>
  <c r="BA284" i="13"/>
  <c r="BA281" i="13"/>
  <c r="BA273" i="13"/>
  <c r="BA253" i="13"/>
  <c r="BA20" i="13"/>
  <c r="BA218" i="13"/>
  <c r="BA207" i="13"/>
  <c r="BA204" i="13"/>
  <c r="BA139" i="13"/>
  <c r="BA137" i="13"/>
  <c r="BA112" i="13"/>
  <c r="BA108" i="13"/>
  <c r="BA95" i="13"/>
  <c r="BA91" i="13"/>
  <c r="BA62" i="13"/>
  <c r="BA2" i="13"/>
  <c r="P221" i="4"/>
  <c r="G220" i="4"/>
  <c r="F221" i="4"/>
  <c r="F220" i="4"/>
  <c r="G221" i="4"/>
  <c r="O221" i="4"/>
  <c r="E221" i="4"/>
  <c r="K221" i="4" s="1"/>
  <c r="E220" i="4"/>
  <c r="G199" i="4"/>
  <c r="G198" i="4"/>
  <c r="F199" i="4"/>
  <c r="F198" i="4"/>
  <c r="E199" i="4"/>
  <c r="E198" i="4"/>
  <c r="P199" i="4"/>
  <c r="O199" i="4"/>
  <c r="P197" i="4"/>
  <c r="O197" i="4"/>
  <c r="G197" i="4"/>
  <c r="G196" i="4"/>
  <c r="F197" i="4"/>
  <c r="F196" i="4"/>
  <c r="K196" i="4" s="1"/>
  <c r="E197" i="4"/>
  <c r="E196" i="4"/>
  <c r="P195" i="4"/>
  <c r="O195" i="4"/>
  <c r="G195" i="4"/>
  <c r="F195" i="4"/>
  <c r="E195" i="4"/>
  <c r="G194" i="4"/>
  <c r="K194" i="4" s="1"/>
  <c r="F194" i="4"/>
  <c r="E194" i="4"/>
  <c r="K195" i="4" l="1"/>
  <c r="K220" i="4"/>
  <c r="L221" i="4" s="1"/>
  <c r="N221" i="4" s="1"/>
  <c r="K197" i="4"/>
  <c r="L197" i="4" s="1"/>
  <c r="N197" i="4" s="1"/>
  <c r="L195" i="4"/>
  <c r="N195" i="4" s="1"/>
  <c r="B177" i="9"/>
  <c r="A177" i="9"/>
  <c r="B188" i="2"/>
  <c r="A188" i="2"/>
  <c r="B221" i="2"/>
  <c r="B131" i="2"/>
  <c r="A221" i="1"/>
  <c r="A221" i="2" s="1"/>
  <c r="A131" i="1"/>
  <c r="A131" i="2" s="1"/>
  <c r="F90" i="7" l="1"/>
  <c r="C90" i="7"/>
  <c r="A90" i="7"/>
  <c r="I90" i="7"/>
  <c r="Q44" i="6" l="1"/>
  <c r="M44" i="6"/>
  <c r="I44" i="6"/>
  <c r="E44" i="6"/>
  <c r="BE43" i="6"/>
  <c r="BE42" i="6"/>
  <c r="BE26" i="6"/>
  <c r="BE30" i="6"/>
  <c r="BE22" i="6"/>
  <c r="BE25" i="6"/>
  <c r="BE31" i="6"/>
  <c r="BE34" i="6"/>
  <c r="BE35" i="6"/>
  <c r="BE38" i="6"/>
  <c r="BE21" i="6"/>
  <c r="BE15" i="6"/>
  <c r="BE29" i="6"/>
  <c r="BE28" i="6"/>
  <c r="BE41" i="6"/>
  <c r="BE33" i="6"/>
  <c r="BE16" i="6"/>
  <c r="BE39" i="6"/>
  <c r="BE24" i="6"/>
  <c r="BE13" i="6"/>
  <c r="BE36" i="6"/>
  <c r="BE10" i="6"/>
  <c r="BE20" i="6"/>
  <c r="BE27" i="6"/>
  <c r="BE19" i="6"/>
  <c r="BE12" i="6"/>
  <c r="BE14" i="6"/>
  <c r="BE23" i="6"/>
  <c r="BE17" i="6"/>
  <c r="BE8" i="6"/>
  <c r="BE9" i="6"/>
  <c r="BE11" i="6"/>
  <c r="BE32" i="6"/>
  <c r="BE18" i="6"/>
  <c r="BE7" i="6"/>
  <c r="BE40" i="6"/>
  <c r="BE37" i="6"/>
  <c r="O157" i="4"/>
  <c r="K157" i="4"/>
  <c r="K156" i="4"/>
  <c r="L157" i="4" s="1"/>
  <c r="N157" i="4" s="1"/>
  <c r="K55" i="4"/>
  <c r="K54" i="4"/>
  <c r="L55" i="4" l="1"/>
  <c r="N55" i="4" s="1"/>
  <c r="B47" i="9"/>
  <c r="A47" i="9"/>
  <c r="B47" i="2"/>
  <c r="A47" i="2"/>
  <c r="V33" i="10" l="1"/>
  <c r="V37" i="10"/>
  <c r="V32" i="10"/>
  <c r="AS32" i="10" s="1"/>
  <c r="V34" i="10"/>
  <c r="AS34" i="10" s="1"/>
  <c r="V39" i="10"/>
  <c r="V29" i="10"/>
  <c r="V21" i="10"/>
  <c r="AS21" i="10" s="1"/>
  <c r="V71" i="10"/>
  <c r="AS71" i="10" s="1"/>
  <c r="V16" i="10"/>
  <c r="V68" i="10"/>
  <c r="V35" i="10"/>
  <c r="AS35" i="10" s="1"/>
  <c r="V12" i="10"/>
  <c r="AS12" i="10" s="1"/>
  <c r="V28" i="10"/>
  <c r="V62" i="10"/>
  <c r="V24" i="10"/>
  <c r="AS24" i="10" s="1"/>
  <c r="V11" i="10"/>
  <c r="AS11" i="10" s="1"/>
  <c r="V31" i="10"/>
  <c r="V38" i="10"/>
  <c r="V57" i="10"/>
  <c r="AS57" i="10" s="1"/>
  <c r="V27" i="10"/>
  <c r="AS27" i="10" s="1"/>
  <c r="V18" i="10"/>
  <c r="V19" i="10"/>
  <c r="V22" i="10"/>
  <c r="V54" i="10"/>
  <c r="AS54" i="10" s="1"/>
  <c r="V10" i="10"/>
  <c r="V36" i="10"/>
  <c r="V9" i="10"/>
  <c r="V49" i="10"/>
  <c r="AS49" i="10" s="1"/>
  <c r="V48" i="10"/>
  <c r="V17" i="10"/>
  <c r="V23" i="10"/>
  <c r="AS23" i="10" s="1"/>
  <c r="V45" i="10"/>
  <c r="AS45" i="10" s="1"/>
  <c r="V44" i="10"/>
  <c r="V43" i="10"/>
  <c r="V25" i="10"/>
  <c r="AS25" i="10" s="1"/>
  <c r="V5" i="10"/>
  <c r="V26" i="10"/>
  <c r="AS19" i="10"/>
  <c r="AS39" i="10"/>
  <c r="AS26" i="10"/>
  <c r="AS84" i="10"/>
  <c r="AS83" i="10"/>
  <c r="AS81" i="10"/>
  <c r="AS80" i="10"/>
  <c r="AS15" i="10"/>
  <c r="AS78" i="10"/>
  <c r="AS77" i="10"/>
  <c r="AS76" i="10"/>
  <c r="AS75" i="10"/>
  <c r="AS73" i="10"/>
  <c r="AS72" i="10"/>
  <c r="AS69" i="10"/>
  <c r="AS68" i="10"/>
  <c r="AS67" i="10"/>
  <c r="AS66" i="10"/>
  <c r="AS65" i="10"/>
  <c r="AS28" i="10"/>
  <c r="AS64" i="10"/>
  <c r="AS63" i="10"/>
  <c r="AS61" i="10"/>
  <c r="AS60" i="10"/>
  <c r="AS59" i="10"/>
  <c r="AS58" i="10"/>
  <c r="AS55" i="10"/>
  <c r="AS10" i="10"/>
  <c r="AS52" i="10"/>
  <c r="AS51" i="10"/>
  <c r="AS50" i="10"/>
  <c r="AS48" i="10"/>
  <c r="AS47" i="10"/>
  <c r="AS46" i="10"/>
  <c r="AS44" i="10"/>
  <c r="AS43" i="10"/>
  <c r="AS42" i="10"/>
  <c r="AS6" i="10"/>
  <c r="AS41" i="10"/>
  <c r="AS40" i="10"/>
  <c r="AS38" i="10"/>
  <c r="AS37" i="10"/>
  <c r="AS36" i="10"/>
  <c r="AS33" i="10"/>
  <c r="AS31" i="10"/>
  <c r="AS29" i="10"/>
  <c r="AS62" i="10"/>
  <c r="AS17" i="10"/>
  <c r="AS16" i="10"/>
  <c r="AS22" i="10"/>
  <c r="AS9" i="10"/>
  <c r="AS18" i="10"/>
  <c r="AS82" i="10"/>
  <c r="AS79" i="10"/>
  <c r="AS14" i="10"/>
  <c r="AS20" i="10"/>
  <c r="AS13" i="10"/>
  <c r="AS74" i="10"/>
  <c r="AS56" i="10"/>
  <c r="AS53" i="10"/>
  <c r="AS8" i="10"/>
  <c r="AS7" i="10"/>
  <c r="AS30" i="10"/>
  <c r="AS2" i="10"/>
  <c r="AS5" i="10" l="1"/>
  <c r="K111" i="12"/>
  <c r="J111" i="12"/>
  <c r="I111" i="12"/>
  <c r="M110" i="12"/>
  <c r="M109" i="12"/>
  <c r="K107" i="12"/>
  <c r="J107" i="12"/>
  <c r="I107" i="12"/>
  <c r="M106" i="12"/>
  <c r="M105" i="12"/>
  <c r="M101" i="12"/>
  <c r="M102" i="12"/>
  <c r="K103" i="12"/>
  <c r="J103" i="12"/>
  <c r="I103" i="12"/>
  <c r="K98" i="12"/>
  <c r="K97" i="12"/>
  <c r="J98" i="12"/>
  <c r="J97" i="12"/>
  <c r="I98" i="12"/>
  <c r="I97" i="12"/>
  <c r="K94" i="12"/>
  <c r="K93" i="12"/>
  <c r="J94" i="12"/>
  <c r="J93" i="12"/>
  <c r="I94" i="12"/>
  <c r="I93" i="12"/>
  <c r="J99" i="12" l="1"/>
  <c r="M98" i="12"/>
  <c r="N110" i="12"/>
  <c r="O110" i="12" s="1"/>
  <c r="N106" i="12"/>
  <c r="O106" i="12" s="1"/>
  <c r="N102" i="12"/>
  <c r="O102" i="12" s="1"/>
  <c r="M97" i="12"/>
  <c r="N98" i="12" s="1"/>
  <c r="O98" i="12" s="1"/>
  <c r="K99" i="12"/>
  <c r="I99" i="12"/>
  <c r="I93" i="7"/>
  <c r="J85" i="7"/>
  <c r="H85" i="7"/>
  <c r="E85" i="7"/>
  <c r="A49" i="8" l="1"/>
  <c r="ED49" i="8"/>
  <c r="EE49" i="8" l="1"/>
  <c r="N49" i="7" s="1"/>
  <c r="L49" i="7"/>
  <c r="F43" i="14"/>
  <c r="F44" i="14"/>
  <c r="F36" i="14"/>
  <c r="F38" i="14"/>
  <c r="F45" i="14"/>
  <c r="F46" i="14"/>
  <c r="F47" i="14"/>
  <c r="F48" i="14"/>
  <c r="F49" i="14"/>
  <c r="F50" i="14"/>
  <c r="F39" i="14"/>
  <c r="F51" i="14"/>
  <c r="F52" i="14"/>
  <c r="F40" i="14"/>
  <c r="F53" i="14"/>
  <c r="F54" i="14"/>
  <c r="F41" i="14"/>
  <c r="F56" i="14"/>
  <c r="F37" i="14"/>
  <c r="F57" i="14"/>
  <c r="F59" i="14"/>
  <c r="F62" i="14"/>
  <c r="F63" i="14"/>
  <c r="F64" i="14"/>
  <c r="F65" i="14"/>
  <c r="F66" i="14"/>
  <c r="F67" i="14"/>
  <c r="F68" i="14"/>
  <c r="F69" i="14"/>
  <c r="F70" i="14"/>
  <c r="F60" i="14"/>
  <c r="F71" i="14"/>
  <c r="F72" i="14"/>
  <c r="F73" i="14"/>
  <c r="F74" i="14"/>
  <c r="F75" i="14"/>
  <c r="F76" i="14"/>
  <c r="F77" i="14"/>
  <c r="F78" i="14"/>
  <c r="F79" i="14"/>
  <c r="F83" i="14"/>
  <c r="F84" i="14"/>
  <c r="F85" i="14"/>
  <c r="F86" i="14"/>
  <c r="F87" i="14"/>
  <c r="F88" i="14"/>
  <c r="F89" i="14"/>
  <c r="F90" i="14"/>
  <c r="F92" i="14"/>
  <c r="F93" i="14"/>
  <c r="F94" i="14"/>
  <c r="F95" i="14"/>
  <c r="F61" i="14"/>
  <c r="F96" i="14"/>
  <c r="F97" i="14"/>
  <c r="F98" i="14"/>
  <c r="F81" i="14"/>
  <c r="F82" i="14"/>
  <c r="F99" i="14"/>
  <c r="F100" i="14"/>
  <c r="F42" i="14"/>
  <c r="D43" i="14"/>
  <c r="D44" i="14"/>
  <c r="D36" i="14"/>
  <c r="D38" i="14"/>
  <c r="D45" i="14"/>
  <c r="D46" i="14"/>
  <c r="D47" i="14"/>
  <c r="D48" i="14"/>
  <c r="D49" i="14"/>
  <c r="D50" i="14"/>
  <c r="D39" i="14"/>
  <c r="D51" i="14"/>
  <c r="D52" i="14"/>
  <c r="D40" i="14"/>
  <c r="D53" i="14"/>
  <c r="D54" i="14"/>
  <c r="D41" i="14"/>
  <c r="D56" i="14"/>
  <c r="D37" i="14"/>
  <c r="D57" i="14"/>
  <c r="D59" i="14"/>
  <c r="D62" i="14"/>
  <c r="D63" i="14"/>
  <c r="D64" i="14"/>
  <c r="D65" i="14"/>
  <c r="D66" i="14"/>
  <c r="D67" i="14"/>
  <c r="D68" i="14"/>
  <c r="D69" i="14"/>
  <c r="D70" i="14"/>
  <c r="D60" i="14"/>
  <c r="D71" i="14"/>
  <c r="D72" i="14"/>
  <c r="D73" i="14"/>
  <c r="D74" i="14"/>
  <c r="D75" i="14"/>
  <c r="D76" i="14"/>
  <c r="D77" i="14"/>
  <c r="D78" i="14"/>
  <c r="D79" i="14"/>
  <c r="D83" i="14"/>
  <c r="D84" i="14"/>
  <c r="D85" i="14"/>
  <c r="D86" i="14"/>
  <c r="D87" i="14"/>
  <c r="D88" i="14"/>
  <c r="D89" i="14"/>
  <c r="D90" i="14"/>
  <c r="D92" i="14"/>
  <c r="D93" i="14"/>
  <c r="D94" i="14"/>
  <c r="D95" i="14"/>
  <c r="D61" i="14"/>
  <c r="D96" i="14"/>
  <c r="D97" i="14"/>
  <c r="D98" i="14"/>
  <c r="D81" i="14"/>
  <c r="D82" i="14"/>
  <c r="D99" i="14"/>
  <c r="D100" i="14"/>
  <c r="D42" i="14"/>
  <c r="AZ441" i="13"/>
  <c r="AZ440" i="13"/>
  <c r="AZ439" i="13"/>
  <c r="AZ438" i="13"/>
  <c r="AZ437" i="13"/>
  <c r="AZ23" i="13"/>
  <c r="AZ21" i="13"/>
  <c r="AZ17" i="13"/>
  <c r="AZ31" i="13"/>
  <c r="AZ40" i="13"/>
  <c r="AZ237" i="13"/>
  <c r="AZ32" i="13"/>
  <c r="AZ19" i="13"/>
  <c r="AZ27" i="13"/>
  <c r="AZ14" i="13"/>
  <c r="AZ35" i="13"/>
  <c r="AZ33" i="13"/>
  <c r="AZ18" i="13"/>
  <c r="AZ29" i="13"/>
  <c r="AZ25" i="13"/>
  <c r="AZ37" i="13"/>
  <c r="AZ26" i="13"/>
  <c r="AZ39" i="13"/>
  <c r="AZ435" i="13"/>
  <c r="AZ434" i="13"/>
  <c r="AZ433" i="13"/>
  <c r="AZ432" i="13"/>
  <c r="AZ431" i="13"/>
  <c r="AZ430" i="13"/>
  <c r="AZ429" i="13"/>
  <c r="AZ428" i="13"/>
  <c r="AZ427" i="13"/>
  <c r="AZ426" i="13"/>
  <c r="AZ425" i="13"/>
  <c r="AZ424" i="13"/>
  <c r="AZ423" i="13"/>
  <c r="AZ422" i="13"/>
  <c r="AZ421" i="13"/>
  <c r="AZ420" i="13"/>
  <c r="AZ419" i="13"/>
  <c r="AZ417" i="13"/>
  <c r="AZ416" i="13"/>
  <c r="AZ415" i="13"/>
  <c r="AZ414" i="13"/>
  <c r="AZ413" i="13"/>
  <c r="AZ412" i="13"/>
  <c r="AZ411" i="13"/>
  <c r="AZ410" i="13"/>
  <c r="AZ409" i="13"/>
  <c r="AZ408" i="13"/>
  <c r="AZ407" i="13"/>
  <c r="AZ406" i="13"/>
  <c r="AZ405" i="13"/>
  <c r="AZ403" i="13"/>
  <c r="AZ402" i="13"/>
  <c r="AZ401" i="13"/>
  <c r="AZ400" i="13"/>
  <c r="AZ399" i="13"/>
  <c r="AZ398" i="13"/>
  <c r="AZ397" i="13"/>
  <c r="AZ396" i="13"/>
  <c r="AZ395" i="13"/>
  <c r="AZ394" i="13"/>
  <c r="AZ392" i="13"/>
  <c r="AZ391" i="13"/>
  <c r="AZ390" i="13"/>
  <c r="AZ389" i="13"/>
  <c r="AZ387" i="13"/>
  <c r="AZ386" i="13"/>
  <c r="AZ385" i="13"/>
  <c r="AZ384" i="13"/>
  <c r="AZ383" i="13"/>
  <c r="AZ382" i="13"/>
  <c r="AZ381" i="13"/>
  <c r="AZ380" i="13"/>
  <c r="AZ379" i="13"/>
  <c r="AZ378" i="13"/>
  <c r="AZ376" i="13"/>
  <c r="AZ375" i="13"/>
  <c r="AZ374" i="13"/>
  <c r="AZ373" i="13"/>
  <c r="AZ372" i="13"/>
  <c r="AZ371" i="13"/>
  <c r="AZ370" i="13"/>
  <c r="AZ368" i="13"/>
  <c r="AZ367" i="13"/>
  <c r="AZ366" i="13"/>
  <c r="AZ364" i="13"/>
  <c r="AZ361" i="13"/>
  <c r="AZ360" i="13"/>
  <c r="AZ357" i="13"/>
  <c r="AZ356" i="13"/>
  <c r="AZ355" i="13"/>
  <c r="AZ354" i="13"/>
  <c r="AZ353" i="13"/>
  <c r="AZ352" i="13"/>
  <c r="AZ350" i="13"/>
  <c r="AZ349" i="13"/>
  <c r="AZ28" i="13"/>
  <c r="AZ348" i="13"/>
  <c r="AZ347" i="13"/>
  <c r="AZ346" i="13"/>
  <c r="AZ345" i="13"/>
  <c r="AZ344" i="13"/>
  <c r="AZ343" i="13"/>
  <c r="AZ342" i="13"/>
  <c r="AZ341" i="13"/>
  <c r="AZ340" i="13"/>
  <c r="AZ339" i="13"/>
  <c r="AZ337" i="13"/>
  <c r="AZ335" i="13"/>
  <c r="AZ334" i="13"/>
  <c r="AZ333" i="13"/>
  <c r="AZ332" i="13"/>
  <c r="AZ331" i="13"/>
  <c r="AZ330" i="13"/>
  <c r="AZ329" i="13"/>
  <c r="AZ328" i="13"/>
  <c r="AZ327" i="13"/>
  <c r="AZ326" i="13"/>
  <c r="AZ325" i="13"/>
  <c r="AZ324" i="13"/>
  <c r="AZ323" i="13"/>
  <c r="AZ322" i="13"/>
  <c r="AZ321" i="13"/>
  <c r="AZ320" i="13"/>
  <c r="AZ319" i="13"/>
  <c r="AZ318" i="13"/>
  <c r="AZ317" i="13"/>
  <c r="AZ316" i="13"/>
  <c r="AZ315" i="13"/>
  <c r="AZ314" i="13"/>
  <c r="AZ313" i="13"/>
  <c r="AZ312" i="13"/>
  <c r="AZ311" i="13"/>
  <c r="AZ310" i="13"/>
  <c r="AZ309" i="13"/>
  <c r="AZ308" i="13"/>
  <c r="AZ307" i="13"/>
  <c r="AZ306" i="13"/>
  <c r="AZ305" i="13"/>
  <c r="AZ304" i="13"/>
  <c r="AZ303" i="13"/>
  <c r="AZ301" i="13"/>
  <c r="AZ300" i="13"/>
  <c r="AZ299" i="13"/>
  <c r="AZ298" i="13"/>
  <c r="AZ297" i="13"/>
  <c r="AZ296" i="13"/>
  <c r="AZ24" i="13"/>
  <c r="AZ295" i="13"/>
  <c r="AZ294" i="13"/>
  <c r="AZ293" i="13"/>
  <c r="AZ292" i="13"/>
  <c r="AZ291" i="13"/>
  <c r="AZ290" i="13"/>
  <c r="AZ289" i="13"/>
  <c r="AZ288" i="13"/>
  <c r="AZ287" i="13"/>
  <c r="AZ286" i="13"/>
  <c r="AZ285" i="13"/>
  <c r="AZ283" i="13"/>
  <c r="AZ282" i="13"/>
  <c r="AZ280" i="13"/>
  <c r="AZ279" i="13"/>
  <c r="AZ278" i="13"/>
  <c r="AZ276" i="13"/>
  <c r="AZ275" i="13"/>
  <c r="AZ274" i="13"/>
  <c r="AZ272" i="13"/>
  <c r="AZ271" i="13"/>
  <c r="AZ270" i="13"/>
  <c r="AZ269" i="13"/>
  <c r="AZ268" i="13"/>
  <c r="AZ267" i="13"/>
  <c r="AZ266" i="13"/>
  <c r="AZ265" i="13"/>
  <c r="AZ264" i="13"/>
  <c r="AZ263" i="13"/>
  <c r="AZ262" i="13"/>
  <c r="AZ261" i="13"/>
  <c r="AZ260" i="13"/>
  <c r="AZ259" i="13"/>
  <c r="AZ258" i="13"/>
  <c r="AZ257" i="13"/>
  <c r="AZ255" i="13"/>
  <c r="AZ254" i="13"/>
  <c r="AZ252" i="13"/>
  <c r="AZ251" i="13"/>
  <c r="AZ250" i="13"/>
  <c r="AZ249" i="13"/>
  <c r="AZ248" i="13"/>
  <c r="AZ247" i="13"/>
  <c r="AZ246" i="13"/>
  <c r="AZ245" i="13"/>
  <c r="AZ244" i="13"/>
  <c r="AZ243" i="13"/>
  <c r="AZ241" i="13"/>
  <c r="AZ240" i="13"/>
  <c r="AZ239" i="13"/>
  <c r="AZ238" i="13"/>
  <c r="AZ236" i="13"/>
  <c r="AZ235" i="13"/>
  <c r="AZ234" i="13"/>
  <c r="AZ233" i="13"/>
  <c r="AZ232" i="13"/>
  <c r="AZ231" i="13"/>
  <c r="AZ230" i="13"/>
  <c r="AZ229" i="13"/>
  <c r="AZ228" i="13"/>
  <c r="AZ227" i="13"/>
  <c r="AZ226" i="13"/>
  <c r="AZ225" i="13"/>
  <c r="AZ224" i="13"/>
  <c r="AZ223" i="13"/>
  <c r="AZ222" i="13"/>
  <c r="AZ221" i="13"/>
  <c r="AZ220" i="13"/>
  <c r="AZ219" i="13"/>
  <c r="AZ217" i="13"/>
  <c r="AZ216" i="13"/>
  <c r="AZ215" i="13"/>
  <c r="AZ214" i="13"/>
  <c r="AZ213" i="13"/>
  <c r="AZ212" i="13"/>
  <c r="AZ211" i="13"/>
  <c r="AZ209" i="13"/>
  <c r="AZ208" i="13"/>
  <c r="AZ206" i="13"/>
  <c r="AZ205" i="13"/>
  <c r="AZ203" i="13"/>
  <c r="AZ202" i="13"/>
  <c r="AZ201" i="13"/>
  <c r="AZ200" i="13"/>
  <c r="AZ199" i="13"/>
  <c r="AZ198" i="13"/>
  <c r="AZ197" i="13"/>
  <c r="AZ196" i="13"/>
  <c r="AZ195" i="13"/>
  <c r="AZ194" i="13"/>
  <c r="AZ193" i="13"/>
  <c r="AZ192" i="13"/>
  <c r="AZ191" i="13"/>
  <c r="AZ190" i="13"/>
  <c r="AZ189" i="13"/>
  <c r="AZ188" i="13"/>
  <c r="AZ187" i="13"/>
  <c r="AZ186" i="13"/>
  <c r="AZ185" i="13"/>
  <c r="AZ184" i="13"/>
  <c r="AZ183" i="13"/>
  <c r="AZ182" i="13"/>
  <c r="AZ181" i="13"/>
  <c r="AZ180" i="13"/>
  <c r="AZ179" i="13"/>
  <c r="AZ178" i="13"/>
  <c r="AZ177" i="13"/>
  <c r="AZ176" i="13"/>
  <c r="AZ175" i="13"/>
  <c r="AZ174" i="13"/>
  <c r="AZ173" i="13"/>
  <c r="AZ172" i="13"/>
  <c r="AZ171" i="13"/>
  <c r="AZ170" i="13"/>
  <c r="AZ169" i="13"/>
  <c r="AZ168" i="13"/>
  <c r="AZ167" i="13"/>
  <c r="AZ166" i="13"/>
  <c r="AZ165" i="13"/>
  <c r="AZ164" i="13"/>
  <c r="AZ163" i="13"/>
  <c r="AZ162" i="13"/>
  <c r="AZ161" i="13"/>
  <c r="AZ160" i="13"/>
  <c r="AZ159" i="13"/>
  <c r="AZ158" i="13"/>
  <c r="AZ157" i="13"/>
  <c r="AZ156" i="13"/>
  <c r="AZ155" i="13"/>
  <c r="AZ154" i="13"/>
  <c r="AZ153" i="13"/>
  <c r="AZ152" i="13"/>
  <c r="AZ151" i="13"/>
  <c r="AZ150" i="13"/>
  <c r="AZ149" i="13"/>
  <c r="AZ148" i="13"/>
  <c r="AZ147" i="13"/>
  <c r="AZ146" i="13"/>
  <c r="AZ144" i="13"/>
  <c r="AZ143" i="13"/>
  <c r="AZ142" i="13"/>
  <c r="AZ141" i="13"/>
  <c r="AZ140" i="13"/>
  <c r="AZ136" i="13"/>
  <c r="AZ135" i="13"/>
  <c r="AZ134" i="13"/>
  <c r="AZ133" i="13"/>
  <c r="AZ132" i="13"/>
  <c r="AZ131" i="13"/>
  <c r="AZ130" i="13"/>
  <c r="AZ129" i="13"/>
  <c r="AZ128" i="13"/>
  <c r="AZ127" i="13"/>
  <c r="AZ126" i="13"/>
  <c r="AZ125" i="13"/>
  <c r="AZ124" i="13"/>
  <c r="AZ123" i="13"/>
  <c r="AZ122" i="13"/>
  <c r="AZ121" i="13"/>
  <c r="AZ120" i="13"/>
  <c r="AZ119" i="13"/>
  <c r="AZ118" i="13"/>
  <c r="AZ117" i="13"/>
  <c r="AZ116" i="13"/>
  <c r="AZ115" i="13"/>
  <c r="AZ114" i="13"/>
  <c r="AZ113" i="13"/>
  <c r="AZ111" i="13"/>
  <c r="AZ110" i="13"/>
  <c r="AZ109" i="13"/>
  <c r="AZ16" i="13"/>
  <c r="AZ15" i="13"/>
  <c r="AZ107" i="13"/>
  <c r="AZ106" i="13"/>
  <c r="AZ105" i="13"/>
  <c r="AZ104" i="13"/>
  <c r="AZ103" i="13"/>
  <c r="AZ102" i="13"/>
  <c r="AZ101" i="13"/>
  <c r="AZ100" i="13"/>
  <c r="AZ99" i="13"/>
  <c r="AZ98" i="13"/>
  <c r="AZ97" i="13"/>
  <c r="AZ96" i="13"/>
  <c r="AZ94" i="13"/>
  <c r="AZ93" i="13"/>
  <c r="AZ92" i="13"/>
  <c r="AZ90" i="13"/>
  <c r="AZ89" i="13"/>
  <c r="AZ88" i="13"/>
  <c r="AZ87" i="13"/>
  <c r="AZ86" i="13"/>
  <c r="AZ84" i="13"/>
  <c r="AZ83" i="13"/>
  <c r="AZ82" i="13"/>
  <c r="AZ81" i="13"/>
  <c r="AZ80" i="13"/>
  <c r="AZ79" i="13"/>
  <c r="AZ78" i="13"/>
  <c r="AZ77" i="13"/>
  <c r="AZ75" i="13"/>
  <c r="AZ74" i="13"/>
  <c r="AZ73" i="13"/>
  <c r="AZ72" i="13"/>
  <c r="AZ71" i="13"/>
  <c r="AZ70" i="13"/>
  <c r="AZ69" i="13"/>
  <c r="AZ68" i="13"/>
  <c r="AZ67" i="13"/>
  <c r="AZ66" i="13"/>
  <c r="AZ65" i="13"/>
  <c r="AZ64" i="13"/>
  <c r="AZ63" i="13"/>
  <c r="AZ61" i="13"/>
  <c r="AZ60" i="13"/>
  <c r="AZ2" i="13"/>
  <c r="Z56" i="13"/>
  <c r="Z41" i="13"/>
  <c r="BA41" i="13" s="1"/>
  <c r="Z46" i="13"/>
  <c r="Z57" i="13"/>
  <c r="BA57" i="13" s="1"/>
  <c r="Z43" i="13"/>
  <c r="Z6" i="13"/>
  <c r="Z30" i="13"/>
  <c r="BA30" i="13" s="1"/>
  <c r="Z49" i="13"/>
  <c r="BA49" i="13" s="1"/>
  <c r="Z7" i="13"/>
  <c r="Z13" i="13"/>
  <c r="Z58" i="13"/>
  <c r="BA58" i="13" s="1"/>
  <c r="Z54" i="13"/>
  <c r="BA54" i="13" s="1"/>
  <c r="Z42" i="13"/>
  <c r="Z55" i="13"/>
  <c r="Z59" i="13"/>
  <c r="BA59" i="13" s="1"/>
  <c r="Z9" i="13"/>
  <c r="Z52" i="13"/>
  <c r="Z48" i="13"/>
  <c r="BA48" i="13" s="1"/>
  <c r="Z12" i="13"/>
  <c r="Z53" i="13"/>
  <c r="BA53" i="13" s="1"/>
  <c r="Z10" i="13"/>
  <c r="BA10" i="13" s="1"/>
  <c r="Z5" i="13"/>
  <c r="BA5" i="13" s="1"/>
  <c r="Z44" i="13"/>
  <c r="Z8" i="13"/>
  <c r="BA8" i="13" s="1"/>
  <c r="Z45" i="13"/>
  <c r="Z38" i="13"/>
  <c r="Z34" i="13"/>
  <c r="Z51" i="13"/>
  <c r="BA51" i="13" s="1"/>
  <c r="Z50" i="13"/>
  <c r="BA50" i="13" s="1"/>
  <c r="Z47" i="13"/>
  <c r="BA47" i="13" s="1"/>
  <c r="Z11" i="13"/>
  <c r="BA11" i="13" s="1"/>
  <c r="B176" i="9"/>
  <c r="A176" i="9"/>
  <c r="B220" i="2"/>
  <c r="B130" i="9"/>
  <c r="B209" i="9"/>
  <c r="B130" i="2"/>
  <c r="M49" i="7" l="1"/>
  <c r="AZ45" i="13"/>
  <c r="BA45" i="13"/>
  <c r="AZ52" i="13"/>
  <c r="BA52" i="13"/>
  <c r="AZ42" i="13"/>
  <c r="BA42" i="13"/>
  <c r="AZ7" i="13"/>
  <c r="BA7" i="13"/>
  <c r="AZ43" i="13"/>
  <c r="BA43" i="13"/>
  <c r="AZ56" i="13"/>
  <c r="BA56" i="13"/>
  <c r="AZ9" i="13"/>
  <c r="BA9" i="13"/>
  <c r="AZ44" i="13"/>
  <c r="BA44" i="13"/>
  <c r="AZ46" i="13"/>
  <c r="BA46" i="13"/>
  <c r="AZ34" i="13"/>
  <c r="BA34" i="13"/>
  <c r="AZ12" i="13"/>
  <c r="BA12" i="13"/>
  <c r="AZ38" i="13"/>
  <c r="BA38" i="13"/>
  <c r="AZ55" i="13"/>
  <c r="BA55" i="13"/>
  <c r="AZ13" i="13"/>
  <c r="BA13" i="13"/>
  <c r="AZ6" i="13"/>
  <c r="BA6" i="13"/>
  <c r="B187" i="2"/>
  <c r="A187" i="2"/>
  <c r="A130" i="1" l="1"/>
  <c r="A220" i="1"/>
  <c r="A209" i="9" l="1"/>
  <c r="A220" i="2"/>
  <c r="A130" i="2"/>
  <c r="A130" i="9"/>
  <c r="Y365" i="13"/>
  <c r="AZ365" i="13" s="1"/>
  <c r="Y41" i="13"/>
  <c r="AZ41" i="13" s="1"/>
  <c r="Y112" i="13"/>
  <c r="AZ112" i="13" s="1"/>
  <c r="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E20" i="13"/>
  <c r="AD20" i="13"/>
  <c r="AC20" i="13"/>
  <c r="AF20" i="13"/>
  <c r="Y273" i="13"/>
  <c r="AZ273" i="13" s="1"/>
  <c r="Y30" i="13"/>
  <c r="AZ30" i="13" s="1"/>
  <c r="Y57" i="13"/>
  <c r="AZ57" i="13" s="1"/>
  <c r="Y139" i="13"/>
  <c r="AZ139" i="13" s="1"/>
  <c r="Y369" i="13"/>
  <c r="AZ369" i="13" s="1"/>
  <c r="Y137" i="13"/>
  <c r="AZ137" i="13" s="1"/>
  <c r="Y49" i="13"/>
  <c r="AZ49" i="13" s="1"/>
  <c r="Y404" i="13"/>
  <c r="AZ404" i="13" s="1"/>
  <c r="Y95" i="13"/>
  <c r="AX95" i="13"/>
  <c r="AW95" i="13"/>
  <c r="AV95" i="13"/>
  <c r="AU95" i="13"/>
  <c r="AT95" i="13"/>
  <c r="AS95" i="13"/>
  <c r="AR95" i="13"/>
  <c r="AQ95" i="13"/>
  <c r="AP95" i="13"/>
  <c r="AO95" i="13"/>
  <c r="AN95" i="13"/>
  <c r="AM95" i="13"/>
  <c r="AL95" i="13"/>
  <c r="AK95" i="13"/>
  <c r="AJ95" i="13"/>
  <c r="AH95" i="13"/>
  <c r="AG95" i="13"/>
  <c r="AF95" i="13"/>
  <c r="AE95" i="13"/>
  <c r="AD95" i="13"/>
  <c r="AC95" i="13"/>
  <c r="AI95" i="13"/>
  <c r="Y54" i="13"/>
  <c r="AZ54" i="13" s="1"/>
  <c r="AY406" i="13"/>
  <c r="AX406" i="13"/>
  <c r="AW406" i="13"/>
  <c r="AV406" i="13"/>
  <c r="AU406" i="13"/>
  <c r="AT406" i="13"/>
  <c r="AS406" i="13"/>
  <c r="AR406" i="13"/>
  <c r="AQ406" i="13"/>
  <c r="AP406" i="13"/>
  <c r="AM406" i="13"/>
  <c r="AL406" i="13"/>
  <c r="AK406" i="13"/>
  <c r="AJ406" i="13"/>
  <c r="AI406" i="13"/>
  <c r="AE406" i="13"/>
  <c r="AD406" i="13"/>
  <c r="AC406" i="13"/>
  <c r="N406" i="13"/>
  <c r="AO406" i="13" s="1"/>
  <c r="G406" i="13"/>
  <c r="AH406" i="13" s="1"/>
  <c r="F406" i="13"/>
  <c r="AF406" i="13" s="1"/>
  <c r="Y58" i="13"/>
  <c r="AX58" i="13"/>
  <c r="AW58" i="13"/>
  <c r="AV58" i="13"/>
  <c r="AU58" i="13"/>
  <c r="AT58" i="13"/>
  <c r="AS58" i="13"/>
  <c r="AR58" i="13"/>
  <c r="AQ58" i="13"/>
  <c r="AP58" i="13"/>
  <c r="AO58" i="13"/>
  <c r="AN58" i="13"/>
  <c r="AM58" i="13"/>
  <c r="AL58" i="13"/>
  <c r="AK58" i="13"/>
  <c r="AJ58" i="13"/>
  <c r="AI58" i="13"/>
  <c r="AH58" i="13"/>
  <c r="AG58" i="13"/>
  <c r="AF58" i="13"/>
  <c r="AE58" i="13"/>
  <c r="AD58" i="13"/>
  <c r="AC58" i="13"/>
  <c r="Y59" i="13"/>
  <c r="AX59" i="13"/>
  <c r="AW59" i="13"/>
  <c r="AT59" i="13"/>
  <c r="AS59" i="13"/>
  <c r="AR59" i="13"/>
  <c r="AQ59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V59" i="13"/>
  <c r="Y358" i="13"/>
  <c r="AZ358" i="13" s="1"/>
  <c r="Y108" i="13"/>
  <c r="AX108" i="13"/>
  <c r="AW108" i="13"/>
  <c r="AV108" i="13"/>
  <c r="AU108" i="13"/>
  <c r="AT108" i="13"/>
  <c r="AS108" i="13"/>
  <c r="AR108" i="13"/>
  <c r="AQ108" i="13"/>
  <c r="AP108" i="13"/>
  <c r="AO108" i="13"/>
  <c r="AN108" i="13"/>
  <c r="AM108" i="13"/>
  <c r="AL108" i="13"/>
  <c r="AK108" i="13"/>
  <c r="AJ108" i="13"/>
  <c r="AI108" i="13"/>
  <c r="AE108" i="13"/>
  <c r="AD108" i="13"/>
  <c r="AC108" i="13"/>
  <c r="AG108" i="13"/>
  <c r="AF108" i="13"/>
  <c r="Y388" i="13"/>
  <c r="AZ388" i="13" s="1"/>
  <c r="Y281" i="13"/>
  <c r="AZ281" i="13" s="1"/>
  <c r="AX281" i="13"/>
  <c r="AW281" i="13"/>
  <c r="AV281" i="13"/>
  <c r="AU281" i="13"/>
  <c r="AT281" i="13"/>
  <c r="AS281" i="13"/>
  <c r="AR281" i="13"/>
  <c r="AQ281" i="13"/>
  <c r="AP281" i="13"/>
  <c r="AO281" i="13"/>
  <c r="AN281" i="13"/>
  <c r="AM281" i="13"/>
  <c r="AL281" i="13"/>
  <c r="AK281" i="13"/>
  <c r="AJ281" i="13"/>
  <c r="AI281" i="13"/>
  <c r="AH281" i="13"/>
  <c r="AG281" i="13"/>
  <c r="AF281" i="13"/>
  <c r="AE281" i="13"/>
  <c r="AD281" i="13"/>
  <c r="AC281" i="13"/>
  <c r="Y48" i="13"/>
  <c r="AZ48" i="13" s="1"/>
  <c r="AY220" i="13"/>
  <c r="AX220" i="13"/>
  <c r="AW220" i="13"/>
  <c r="AV220" i="13"/>
  <c r="AU220" i="13"/>
  <c r="AR220" i="13"/>
  <c r="AQ220" i="13"/>
  <c r="AP220" i="13"/>
  <c r="AO220" i="13"/>
  <c r="AN220" i="13"/>
  <c r="AM220" i="13"/>
  <c r="AL220" i="13"/>
  <c r="AK220" i="13"/>
  <c r="AJ220" i="13"/>
  <c r="AI220" i="13"/>
  <c r="AH220" i="13"/>
  <c r="AG220" i="13"/>
  <c r="AF220" i="13"/>
  <c r="AE220" i="13"/>
  <c r="AD220" i="13"/>
  <c r="AC220" i="13"/>
  <c r="S220" i="13"/>
  <c r="AS220" i="13" s="1"/>
  <c r="Y36" i="13"/>
  <c r="AZ36" i="13" s="1"/>
  <c r="Y204" i="13"/>
  <c r="AZ204" i="13" s="1"/>
  <c r="Y53" i="13"/>
  <c r="AZ53" i="13" s="1"/>
  <c r="Y8" i="13"/>
  <c r="AZ8" i="13" s="1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Y336" i="13"/>
  <c r="AZ336" i="13" s="1"/>
  <c r="Y5" i="13"/>
  <c r="AX5" i="13"/>
  <c r="AW5" i="13"/>
  <c r="AV5" i="13"/>
  <c r="AU5" i="13"/>
  <c r="AT5" i="13"/>
  <c r="AS5" i="13"/>
  <c r="AR5" i="13"/>
  <c r="AQ5" i="13"/>
  <c r="AP5" i="13"/>
  <c r="AO5" i="13"/>
  <c r="AN5" i="13"/>
  <c r="AM5" i="13"/>
  <c r="AL5" i="13"/>
  <c r="AK5" i="13"/>
  <c r="AJ5" i="13"/>
  <c r="AI5" i="13"/>
  <c r="AH5" i="13"/>
  <c r="AE5" i="13"/>
  <c r="AD5" i="13"/>
  <c r="AC5" i="13"/>
  <c r="AG5" i="13"/>
  <c r="Y207" i="13"/>
  <c r="AX207" i="13"/>
  <c r="AW207" i="13"/>
  <c r="AV207" i="13"/>
  <c r="AU207" i="13"/>
  <c r="AS207" i="13"/>
  <c r="AR207" i="13"/>
  <c r="AQ207" i="13"/>
  <c r="AP207" i="13"/>
  <c r="AO207" i="13"/>
  <c r="AN207" i="13"/>
  <c r="AM207" i="13"/>
  <c r="AL207" i="13"/>
  <c r="AK207" i="13"/>
  <c r="AJ207" i="13"/>
  <c r="AI207" i="13"/>
  <c r="AH207" i="13"/>
  <c r="AG207" i="13"/>
  <c r="AF207" i="13"/>
  <c r="AE207" i="13"/>
  <c r="AD207" i="13"/>
  <c r="AC207" i="13"/>
  <c r="AT207" i="13"/>
  <c r="Y11" i="13"/>
  <c r="AX11" i="13"/>
  <c r="AW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U11" i="13"/>
  <c r="Y62" i="13"/>
  <c r="AZ62" i="13" s="1"/>
  <c r="Y91" i="13"/>
  <c r="AZ91" i="13" s="1"/>
  <c r="Y10" i="13"/>
  <c r="AZ10" i="13" s="1"/>
  <c r="Y253" i="13"/>
  <c r="AX253" i="13"/>
  <c r="AW253" i="13"/>
  <c r="AV253" i="13"/>
  <c r="AU253" i="13"/>
  <c r="AT253" i="13"/>
  <c r="AS253" i="13"/>
  <c r="AR253" i="13"/>
  <c r="AQ253" i="13"/>
  <c r="AP253" i="13"/>
  <c r="AO253" i="13"/>
  <c r="AN253" i="13"/>
  <c r="AM253" i="13"/>
  <c r="AL253" i="13"/>
  <c r="AK253" i="13"/>
  <c r="AJ253" i="13"/>
  <c r="AI253" i="13"/>
  <c r="AH253" i="13"/>
  <c r="AG253" i="13"/>
  <c r="AF253" i="13"/>
  <c r="AC253" i="13"/>
  <c r="AE253" i="13"/>
  <c r="Y218" i="13"/>
  <c r="AZ218" i="13" s="1"/>
  <c r="Y50" i="13"/>
  <c r="AZ50" i="13" s="1"/>
  <c r="Y47" i="13"/>
  <c r="AX47" i="13"/>
  <c r="AW47" i="13"/>
  <c r="AV47" i="13"/>
  <c r="AU47" i="13"/>
  <c r="AT47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S47" i="13"/>
  <c r="AQ47" i="13"/>
  <c r="Y51" i="13"/>
  <c r="AZ51" i="13" s="1"/>
  <c r="Y284" i="13"/>
  <c r="AZ284" i="13" s="1"/>
  <c r="AY281" i="13" l="1"/>
  <c r="AY5" i="13"/>
  <c r="AZ5" i="13"/>
  <c r="AY59" i="13"/>
  <c r="AZ59" i="13"/>
  <c r="AY108" i="13"/>
  <c r="AZ108" i="13"/>
  <c r="AY95" i="13"/>
  <c r="AZ95" i="13"/>
  <c r="AY47" i="13"/>
  <c r="AZ47" i="13"/>
  <c r="AY253" i="13"/>
  <c r="AZ253" i="13"/>
  <c r="AY207" i="13"/>
  <c r="AZ207" i="13"/>
  <c r="AY8" i="13"/>
  <c r="AY20" i="13"/>
  <c r="AZ20" i="13"/>
  <c r="AG406" i="13"/>
  <c r="AY11" i="13"/>
  <c r="AZ11" i="13"/>
  <c r="AY58" i="13"/>
  <c r="AZ58" i="13"/>
  <c r="AN406" i="13"/>
  <c r="AU59" i="13"/>
  <c r="AH108" i="13"/>
  <c r="AT220" i="13"/>
  <c r="AX8" i="13"/>
  <c r="AF5" i="13"/>
  <c r="AV11" i="13"/>
  <c r="AD253" i="13"/>
  <c r="AR47" i="13"/>
  <c r="N79" i="6" l="1"/>
  <c r="J79" i="6"/>
  <c r="F79" i="6"/>
  <c r="F72" i="6"/>
  <c r="J72" i="6"/>
  <c r="Q45" i="6"/>
  <c r="M45" i="6"/>
  <c r="I45" i="6"/>
  <c r="E45" i="6"/>
  <c r="BA31" i="6"/>
  <c r="BA29" i="6"/>
  <c r="BA34" i="6"/>
  <c r="BA42" i="6"/>
  <c r="BA25" i="6"/>
  <c r="BA21" i="6"/>
  <c r="BA41" i="6"/>
  <c r="BA24" i="6"/>
  <c r="BA17" i="6"/>
  <c r="BA33" i="6"/>
  <c r="BA14" i="6"/>
  <c r="BA19" i="6"/>
  <c r="BA15" i="6"/>
  <c r="BA23" i="6"/>
  <c r="BA16" i="6"/>
  <c r="BA37" i="6"/>
  <c r="BA36" i="6"/>
  <c r="BA22" i="6"/>
  <c r="BA28" i="6"/>
  <c r="BA9" i="6"/>
  <c r="BA8" i="6"/>
  <c r="BA38" i="6"/>
  <c r="BA27" i="6"/>
  <c r="BA39" i="6"/>
  <c r="BA26" i="6"/>
  <c r="BA32" i="6"/>
  <c r="BA10" i="6"/>
  <c r="BA13" i="6"/>
  <c r="BA12" i="6"/>
  <c r="BA20" i="6"/>
  <c r="BA7" i="6"/>
  <c r="BA11" i="6"/>
  <c r="BA35" i="6"/>
  <c r="BA18" i="6"/>
  <c r="BA40" i="6"/>
  <c r="BA43" i="6"/>
  <c r="BA30" i="6"/>
  <c r="AY441" i="13"/>
  <c r="AY440" i="13"/>
  <c r="AY439" i="13"/>
  <c r="AY438" i="13"/>
  <c r="AY437" i="13"/>
  <c r="AY23" i="13"/>
  <c r="AY21" i="13"/>
  <c r="AY17" i="13"/>
  <c r="AY31" i="13"/>
  <c r="AY40" i="13"/>
  <c r="AY237" i="13"/>
  <c r="AY32" i="13"/>
  <c r="AY19" i="13"/>
  <c r="AY27" i="13"/>
  <c r="AY14" i="13"/>
  <c r="AY35" i="13"/>
  <c r="AY33" i="13"/>
  <c r="AY18" i="13"/>
  <c r="AY29" i="13"/>
  <c r="AY25" i="13"/>
  <c r="AY37" i="13"/>
  <c r="AY26" i="13"/>
  <c r="AY39" i="13"/>
  <c r="AY56" i="13"/>
  <c r="AY43" i="13"/>
  <c r="AY6" i="13"/>
  <c r="AY7" i="13"/>
  <c r="AY13" i="13"/>
  <c r="AY42" i="13"/>
  <c r="AY55" i="13"/>
  <c r="AY9" i="13"/>
  <c r="AY52" i="13"/>
  <c r="AY12" i="13"/>
  <c r="AY44" i="13"/>
  <c r="AY45" i="13"/>
  <c r="AY38" i="13"/>
  <c r="AY34" i="13"/>
  <c r="AY365" i="13"/>
  <c r="AY41" i="13"/>
  <c r="AY112" i="13"/>
  <c r="AY57" i="13"/>
  <c r="AY139" i="13"/>
  <c r="AY369" i="13"/>
  <c r="AY137" i="13"/>
  <c r="AY49" i="13"/>
  <c r="AY404" i="13"/>
  <c r="AY402" i="13"/>
  <c r="AY356" i="13"/>
  <c r="AY354" i="13"/>
  <c r="AY329" i="13"/>
  <c r="AY325" i="13"/>
  <c r="AY310" i="13"/>
  <c r="AY282" i="13"/>
  <c r="AY280" i="13"/>
  <c r="AY245" i="13"/>
  <c r="AY239" i="13"/>
  <c r="AY234" i="13"/>
  <c r="AY231" i="13"/>
  <c r="AY172" i="13"/>
  <c r="AY122" i="13"/>
  <c r="AY121" i="13"/>
  <c r="AY110" i="13"/>
  <c r="AY65" i="13"/>
  <c r="AY407" i="13"/>
  <c r="AY326" i="13"/>
  <c r="AY156" i="13"/>
  <c r="AY389" i="13"/>
  <c r="AY247" i="13"/>
  <c r="AY189" i="13"/>
  <c r="AY319" i="13"/>
  <c r="AY314" i="13"/>
  <c r="AY385" i="13"/>
  <c r="AY324" i="13"/>
  <c r="AY268" i="13"/>
  <c r="AY214" i="13"/>
  <c r="AY198" i="13"/>
  <c r="AY60" i="13"/>
  <c r="AY321" i="13"/>
  <c r="AY257" i="13"/>
  <c r="AY223" i="13"/>
  <c r="AY133" i="13"/>
  <c r="AY124" i="13"/>
  <c r="AY116" i="13"/>
  <c r="AY93" i="13"/>
  <c r="AY82" i="13"/>
  <c r="AY77" i="13"/>
  <c r="AY109" i="13"/>
  <c r="AY412" i="13"/>
  <c r="AY428" i="13"/>
  <c r="AY344" i="13"/>
  <c r="AY295" i="13"/>
  <c r="AY259" i="13"/>
  <c r="AY127" i="13"/>
  <c r="AY98" i="13"/>
  <c r="AY86" i="13"/>
  <c r="AY106" i="13"/>
  <c r="AY433" i="13"/>
  <c r="AY317" i="13"/>
  <c r="AY153" i="13"/>
  <c r="AY266" i="13"/>
  <c r="AY243" i="13"/>
  <c r="AY318" i="13"/>
  <c r="AY115" i="13"/>
  <c r="AY222" i="13"/>
  <c r="AY160" i="13"/>
  <c r="AY298" i="13"/>
  <c r="AY311" i="13"/>
  <c r="AY260" i="13"/>
  <c r="AY346" i="13"/>
  <c r="AY167" i="13"/>
  <c r="AY265" i="13"/>
  <c r="AY386" i="13"/>
  <c r="AY381" i="13"/>
  <c r="AY373" i="13"/>
  <c r="AY299" i="13"/>
  <c r="AY255" i="13"/>
  <c r="AY221" i="13"/>
  <c r="AY205" i="13"/>
  <c r="AY202" i="13"/>
  <c r="AY173" i="13"/>
  <c r="AY97" i="13"/>
  <c r="AY80" i="13"/>
  <c r="AY371" i="13"/>
  <c r="AY206" i="13"/>
  <c r="AY429" i="13"/>
  <c r="AY262" i="13"/>
  <c r="AY111" i="13"/>
  <c r="AY216" i="13"/>
  <c r="AY349" i="13"/>
  <c r="AY367" i="13"/>
  <c r="AY355" i="13"/>
  <c r="AY334" i="13"/>
  <c r="AY142" i="13"/>
  <c r="AY114" i="13"/>
  <c r="AY183" i="13"/>
  <c r="AY353" i="13"/>
  <c r="AY217" i="13"/>
  <c r="AY143" i="13"/>
  <c r="AY431" i="13"/>
  <c r="AY212" i="13"/>
  <c r="AY376" i="13"/>
  <c r="AY423" i="13"/>
  <c r="AY339" i="13"/>
  <c r="AY307" i="13"/>
  <c r="AY249" i="13"/>
  <c r="AY134" i="13"/>
  <c r="AY94" i="13"/>
  <c r="AY72" i="13"/>
  <c r="AY101" i="13"/>
  <c r="AY117" i="13"/>
  <c r="AY83" i="13"/>
  <c r="AY126" i="13"/>
  <c r="AY241" i="13"/>
  <c r="AY328" i="13"/>
  <c r="AY71" i="13"/>
  <c r="AY379" i="13"/>
  <c r="AY408" i="13"/>
  <c r="AY375" i="13"/>
  <c r="AY291" i="13"/>
  <c r="AY315" i="13"/>
  <c r="AY332" i="13"/>
  <c r="AY331" i="13"/>
  <c r="AY345" i="13"/>
  <c r="AY413" i="13"/>
  <c r="AY194" i="13"/>
  <c r="AY176" i="13"/>
  <c r="AY99" i="13"/>
  <c r="AY149" i="13"/>
  <c r="AY286" i="13"/>
  <c r="AY163" i="13"/>
  <c r="AY166" i="13"/>
  <c r="AY96" i="13"/>
  <c r="AY123" i="13"/>
  <c r="AY425" i="13"/>
  <c r="AY411" i="13"/>
  <c r="AY410" i="13"/>
  <c r="AY401" i="13"/>
  <c r="AY200" i="13"/>
  <c r="AY193" i="13"/>
  <c r="AY92" i="13"/>
  <c r="AY254" i="13"/>
  <c r="AY197" i="13"/>
  <c r="AY155" i="13"/>
  <c r="AY70" i="13"/>
  <c r="AY213" i="13"/>
  <c r="AY285" i="13"/>
  <c r="AY230" i="13"/>
  <c r="AY89" i="13"/>
  <c r="AY54" i="13"/>
  <c r="AY304" i="13"/>
  <c r="AY279" i="13"/>
  <c r="AY81" i="13"/>
  <c r="AY430" i="13"/>
  <c r="AY335" i="13"/>
  <c r="AY240" i="13"/>
  <c r="AY73" i="13"/>
  <c r="AY169" i="13"/>
  <c r="AY403" i="13"/>
  <c r="AY288" i="13"/>
  <c r="AY396" i="13"/>
  <c r="AY323" i="13"/>
  <c r="AY421" i="13"/>
  <c r="AY184" i="13"/>
  <c r="AY103" i="13"/>
  <c r="AY405" i="13"/>
  <c r="AY390" i="13"/>
  <c r="AY278" i="13"/>
  <c r="AY261" i="13"/>
  <c r="AY258" i="13"/>
  <c r="AY185" i="13"/>
  <c r="AY179" i="13"/>
  <c r="AY188" i="13"/>
  <c r="AY87" i="13"/>
  <c r="AY68" i="13"/>
  <c r="AY246" i="13"/>
  <c r="AY309" i="13"/>
  <c r="AY342" i="13"/>
  <c r="AY135" i="13"/>
  <c r="AY417" i="13"/>
  <c r="AY366" i="13"/>
  <c r="AY343" i="13"/>
  <c r="AY322" i="13"/>
  <c r="AY269" i="13"/>
  <c r="AY252" i="13"/>
  <c r="AY196" i="13"/>
  <c r="AY152" i="13"/>
  <c r="AY151" i="13"/>
  <c r="AY120" i="13"/>
  <c r="AY113" i="13"/>
  <c r="AY374" i="13"/>
  <c r="AY306" i="13"/>
  <c r="AY337" i="13"/>
  <c r="AY320" i="13"/>
  <c r="AY75" i="13"/>
  <c r="AY236" i="13"/>
  <c r="AY248" i="13"/>
  <c r="AY150" i="13"/>
  <c r="AY170" i="13"/>
  <c r="AY422" i="13"/>
  <c r="AY274" i="13"/>
  <c r="AY395" i="13"/>
  <c r="AY340" i="13"/>
  <c r="AY275" i="13"/>
  <c r="AY271" i="13"/>
  <c r="AY238" i="13"/>
  <c r="AY233" i="13"/>
  <c r="AY201" i="13"/>
  <c r="AY191" i="13"/>
  <c r="AY174" i="13"/>
  <c r="AY171" i="13"/>
  <c r="AY136" i="13"/>
  <c r="AY69" i="13"/>
  <c r="AY64" i="13"/>
  <c r="AY327" i="13"/>
  <c r="AY209" i="13"/>
  <c r="AY187" i="13"/>
  <c r="AY341" i="13"/>
  <c r="AY348" i="13"/>
  <c r="AY391" i="13"/>
  <c r="AY426" i="13"/>
  <c r="AY415" i="13"/>
  <c r="AY360" i="13"/>
  <c r="AY330" i="13"/>
  <c r="AY226" i="13"/>
  <c r="AY48" i="13"/>
  <c r="AY208" i="13"/>
  <c r="AY192" i="13"/>
  <c r="AY129" i="13"/>
  <c r="AY66" i="13"/>
  <c r="AY227" i="13"/>
  <c r="AY308" i="13"/>
  <c r="AY427" i="13"/>
  <c r="AY105" i="13"/>
  <c r="AY251" i="13"/>
  <c r="AY131" i="13"/>
  <c r="AY301" i="13"/>
  <c r="AY270" i="13"/>
  <c r="AY100" i="13"/>
  <c r="AY283" i="13"/>
  <c r="AY392" i="13"/>
  <c r="AY190" i="13"/>
  <c r="AY400" i="13"/>
  <c r="AY383" i="13"/>
  <c r="AY364" i="13"/>
  <c r="AY347" i="13"/>
  <c r="AY272" i="13"/>
  <c r="AY250" i="13"/>
  <c r="AY235" i="13"/>
  <c r="AY224" i="13"/>
  <c r="AY195" i="13"/>
  <c r="AY178" i="13"/>
  <c r="AY162" i="13"/>
  <c r="AY159" i="13"/>
  <c r="AY158" i="13"/>
  <c r="AY128" i="13"/>
  <c r="AY119" i="13"/>
  <c r="AY102" i="13"/>
  <c r="AY244" i="13"/>
  <c r="AY292" i="13"/>
  <c r="AY84" i="13"/>
  <c r="AY16" i="13"/>
  <c r="AY15" i="13"/>
  <c r="AY125" i="13"/>
  <c r="AY161" i="13"/>
  <c r="AY228" i="13"/>
  <c r="AY303" i="13"/>
  <c r="AY180" i="13"/>
  <c r="AY419" i="13"/>
  <c r="AY63" i="13"/>
  <c r="AY296" i="13"/>
  <c r="AY305" i="13"/>
  <c r="AY434" i="13"/>
  <c r="AY420" i="13"/>
  <c r="AY416" i="13"/>
  <c r="AY409" i="13"/>
  <c r="AY368" i="13"/>
  <c r="AY333" i="13"/>
  <c r="AY263" i="13"/>
  <c r="AY204" i="13"/>
  <c r="AY175" i="13"/>
  <c r="AY147" i="13"/>
  <c r="AY146" i="13"/>
  <c r="AY132" i="13"/>
  <c r="AY118" i="13"/>
  <c r="AY79" i="13"/>
  <c r="AY67" i="13"/>
  <c r="AY61" i="13"/>
  <c r="AY215" i="13"/>
  <c r="AY432" i="13"/>
  <c r="AY199" i="13"/>
  <c r="AY294" i="13"/>
  <c r="AY164" i="13"/>
  <c r="AY140" i="13"/>
  <c r="AY414" i="13"/>
  <c r="AY290" i="13"/>
  <c r="AY24" i="13"/>
  <c r="AY232" i="13"/>
  <c r="AY168" i="13"/>
  <c r="AY88" i="13"/>
  <c r="AY361" i="13"/>
  <c r="AY154" i="13"/>
  <c r="AY424" i="13"/>
  <c r="AY398" i="13"/>
  <c r="AY387" i="13"/>
  <c r="AY370" i="13"/>
  <c r="AY358" i="13"/>
  <c r="AY357" i="13"/>
  <c r="AY30" i="13"/>
  <c r="AY316" i="13"/>
  <c r="AY313" i="13"/>
  <c r="AY300" i="13"/>
  <c r="AY297" i="13"/>
  <c r="AY293" i="13"/>
  <c r="AY289" i="13"/>
  <c r="AY287" i="13"/>
  <c r="AY264" i="13"/>
  <c r="AY219" i="13"/>
  <c r="AY182" i="13"/>
  <c r="AY177" i="13"/>
  <c r="AY165" i="13"/>
  <c r="AY144" i="13"/>
  <c r="AY130" i="13"/>
  <c r="AY90" i="13"/>
  <c r="AY141" i="13"/>
  <c r="AY378" i="13"/>
  <c r="AY181" i="13"/>
  <c r="AY276" i="13"/>
  <c r="AY399" i="13"/>
  <c r="AY394" i="13"/>
  <c r="AY211" i="13"/>
  <c r="AY284" i="13"/>
  <c r="AY107" i="13"/>
  <c r="AY36" i="13"/>
  <c r="AY352" i="13"/>
  <c r="AY380" i="13"/>
  <c r="AY2" i="13"/>
  <c r="P193" i="4" l="1"/>
  <c r="O193" i="4"/>
  <c r="G193" i="4"/>
  <c r="F193" i="4"/>
  <c r="E193" i="4"/>
  <c r="G192" i="4"/>
  <c r="F192" i="4"/>
  <c r="E192" i="4"/>
  <c r="K192" i="4" s="1"/>
  <c r="K53" i="4"/>
  <c r="K52" i="4"/>
  <c r="L53" i="4" s="1"/>
  <c r="N53" i="4" s="1"/>
  <c r="K159" i="4"/>
  <c r="K158" i="4"/>
  <c r="O155" i="4"/>
  <c r="K155" i="4"/>
  <c r="K154" i="4"/>
  <c r="O153" i="4"/>
  <c r="O151" i="4"/>
  <c r="K151" i="4"/>
  <c r="K150" i="4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AR5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L151" i="4" l="1"/>
  <c r="N151" i="4" s="1"/>
  <c r="K193" i="4"/>
  <c r="L193" i="4" s="1"/>
  <c r="N193" i="4" s="1"/>
  <c r="L159" i="4"/>
  <c r="N159" i="4" s="1"/>
  <c r="L155" i="4"/>
  <c r="N155" i="4" s="1"/>
  <c r="AR84" i="10"/>
  <c r="AR83" i="10"/>
  <c r="AR81" i="10"/>
  <c r="AR80" i="10"/>
  <c r="AR78" i="10"/>
  <c r="AR77" i="10"/>
  <c r="AR76" i="10"/>
  <c r="AR75" i="10"/>
  <c r="AR73" i="10"/>
  <c r="AR72" i="10"/>
  <c r="AR71" i="10"/>
  <c r="AR69" i="10"/>
  <c r="AR68" i="10"/>
  <c r="AR67" i="10"/>
  <c r="AR66" i="10"/>
  <c r="AR65" i="10"/>
  <c r="AR64" i="10"/>
  <c r="AR63" i="10"/>
  <c r="AR61" i="10"/>
  <c r="AR60" i="10"/>
  <c r="AR59" i="10"/>
  <c r="AR58" i="10"/>
  <c r="AR55" i="10"/>
  <c r="AR10" i="10"/>
  <c r="AR52" i="10"/>
  <c r="AR51" i="10"/>
  <c r="AR50" i="10"/>
  <c r="AR47" i="10"/>
  <c r="AR46" i="10"/>
  <c r="AR43" i="10"/>
  <c r="AR42" i="10"/>
  <c r="AR41" i="10"/>
  <c r="AR40" i="10"/>
  <c r="AR49" i="10"/>
  <c r="AR8" i="10"/>
  <c r="AR13" i="10"/>
  <c r="AR45" i="10"/>
  <c r="AR37" i="10"/>
  <c r="AR31" i="10"/>
  <c r="AR36" i="10"/>
  <c r="AR56" i="10"/>
  <c r="AR35" i="10"/>
  <c r="AR9" i="10"/>
  <c r="AR14" i="10"/>
  <c r="AR82" i="10"/>
  <c r="AR18" i="10"/>
  <c r="AR11" i="10"/>
  <c r="AR16" i="10"/>
  <c r="AR7" i="10"/>
  <c r="AR22" i="10"/>
  <c r="AR17" i="10"/>
  <c r="AR26" i="10"/>
  <c r="AR29" i="10"/>
  <c r="AR25" i="10"/>
  <c r="AR30" i="10"/>
  <c r="AR79" i="10"/>
  <c r="AR5" i="10"/>
  <c r="AR38" i="10"/>
  <c r="AR20" i="10"/>
  <c r="AR33" i="10"/>
  <c r="AR19" i="10"/>
  <c r="AR32" i="10"/>
  <c r="AR23" i="10"/>
  <c r="AR12" i="10"/>
  <c r="AR24" i="10"/>
  <c r="AR62" i="10"/>
  <c r="AR53" i="10"/>
  <c r="AR74" i="10"/>
  <c r="AR15" i="10"/>
  <c r="AR34" i="10"/>
  <c r="AR39" i="10"/>
  <c r="AR21" i="10"/>
  <c r="AR28" i="10"/>
  <c r="AR54" i="10"/>
  <c r="AR48" i="10"/>
  <c r="AR44" i="10"/>
  <c r="AR6" i="10"/>
  <c r="AR2" i="10"/>
  <c r="ED48" i="8" l="1"/>
  <c r="EE48" i="8" s="1"/>
  <c r="N48" i="7" s="1"/>
  <c r="L48" i="7" l="1"/>
  <c r="M48" i="7" s="1"/>
  <c r="B48" i="9"/>
  <c r="A48" i="9"/>
  <c r="B48" i="2"/>
  <c r="A48" i="2"/>
  <c r="U152" i="9" l="1"/>
  <c r="AM152" i="9" s="1"/>
  <c r="BE152" i="9" s="1"/>
  <c r="BW152" i="9" s="1"/>
  <c r="CO152" i="9" s="1"/>
  <c r="DG152" i="9" s="1"/>
  <c r="DY152" i="9" s="1"/>
  <c r="EQ152" i="9" s="1"/>
  <c r="FI152" i="9" s="1"/>
  <c r="GA152" i="9" s="1"/>
  <c r="GS152" i="9" s="1"/>
  <c r="HK152" i="9" s="1"/>
  <c r="IC152" i="9" s="1"/>
  <c r="Q43" i="6"/>
  <c r="M43" i="6"/>
  <c r="I43" i="6"/>
  <c r="E43" i="6"/>
  <c r="Q42" i="6"/>
  <c r="M42" i="6"/>
  <c r="I42" i="6"/>
  <c r="E42" i="6"/>
  <c r="Q41" i="6"/>
  <c r="M41" i="6"/>
  <c r="ED47" i="8" l="1"/>
  <c r="B46" i="9"/>
  <c r="A46" i="9"/>
  <c r="B45" i="9"/>
  <c r="A45" i="9"/>
  <c r="B44" i="9"/>
  <c r="A44" i="9"/>
  <c r="B43" i="9"/>
  <c r="A43" i="9"/>
  <c r="B42" i="9"/>
  <c r="A42" i="9"/>
  <c r="B41" i="9"/>
  <c r="A41" i="9"/>
  <c r="B40" i="9"/>
  <c r="A40" i="9"/>
  <c r="B39" i="9"/>
  <c r="A39" i="9"/>
  <c r="B38" i="9"/>
  <c r="A38" i="9"/>
  <c r="B37" i="9"/>
  <c r="A37" i="9"/>
  <c r="B36" i="9"/>
  <c r="A36" i="9"/>
  <c r="B35" i="9"/>
  <c r="A35" i="9"/>
  <c r="B34" i="9"/>
  <c r="A34" i="9"/>
  <c r="B33" i="9"/>
  <c r="A33" i="9"/>
  <c r="B32" i="9"/>
  <c r="A32" i="9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A4" i="9"/>
  <c r="B4" i="9"/>
  <c r="A5" i="9"/>
  <c r="B5" i="9"/>
  <c r="A6" i="9"/>
  <c r="B6" i="9"/>
  <c r="A7" i="9"/>
  <c r="B7" i="9"/>
  <c r="B3" i="9"/>
  <c r="A3" i="9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7" i="2"/>
  <c r="A7" i="2"/>
  <c r="B6" i="2"/>
  <c r="A6" i="2"/>
  <c r="B5" i="2"/>
  <c r="A5" i="2"/>
  <c r="B4" i="2"/>
  <c r="A4" i="2"/>
  <c r="B3" i="2"/>
  <c r="A3" i="2"/>
  <c r="EE47" i="8" l="1"/>
  <c r="N47" i="7" s="1"/>
  <c r="L47" i="7"/>
  <c r="N58" i="6"/>
  <c r="N72" i="6"/>
  <c r="J58" i="6"/>
  <c r="F58" i="6"/>
  <c r="AN44" i="6"/>
  <c r="W44" i="6"/>
  <c r="AV39" i="6"/>
  <c r="AV28" i="6"/>
  <c r="AV32" i="6"/>
  <c r="AV27" i="6"/>
  <c r="AV34" i="6"/>
  <c r="AV12" i="6"/>
  <c r="AV31" i="6"/>
  <c r="AV16" i="6"/>
  <c r="AV26" i="6"/>
  <c r="AV33" i="6"/>
  <c r="AV23" i="6"/>
  <c r="AV11" i="6"/>
  <c r="AV10" i="6"/>
  <c r="AV15" i="6"/>
  <c r="AV25" i="6"/>
  <c r="AV22" i="6"/>
  <c r="AV35" i="6"/>
  <c r="AV24" i="6"/>
  <c r="AV14" i="6"/>
  <c r="AV19" i="6"/>
  <c r="AV18" i="6"/>
  <c r="AV9" i="6"/>
  <c r="AV36" i="6"/>
  <c r="AV30" i="6"/>
  <c r="AV29" i="6"/>
  <c r="AV17" i="6"/>
  <c r="AV8" i="6"/>
  <c r="AV20" i="6"/>
  <c r="AV7" i="6"/>
  <c r="AV40" i="6"/>
  <c r="AV13" i="6"/>
  <c r="AV21" i="6"/>
  <c r="AV41" i="6"/>
  <c r="AV38" i="6"/>
  <c r="AV37" i="6"/>
  <c r="AQ37" i="10"/>
  <c r="AP37" i="10"/>
  <c r="AO37" i="10"/>
  <c r="AN37" i="10"/>
  <c r="AM37" i="10"/>
  <c r="AL37" i="10"/>
  <c r="AK37" i="10"/>
  <c r="AJ37" i="10"/>
  <c r="AI37" i="10"/>
  <c r="AH37" i="10"/>
  <c r="AG37" i="10"/>
  <c r="AD37" i="10"/>
  <c r="AC37" i="10"/>
  <c r="AB37" i="10"/>
  <c r="AA37" i="10"/>
  <c r="Z37" i="10"/>
  <c r="Y37" i="10"/>
  <c r="AE37" i="10"/>
  <c r="AQ84" i="10"/>
  <c r="AQ33" i="10"/>
  <c r="AQ83" i="10"/>
  <c r="AQ82" i="10"/>
  <c r="AQ81" i="10"/>
  <c r="AQ80" i="10"/>
  <c r="AQ15" i="10"/>
  <c r="AQ32" i="10"/>
  <c r="AQ79" i="10"/>
  <c r="AQ14" i="10"/>
  <c r="AQ34" i="10"/>
  <c r="AQ35" i="10"/>
  <c r="AQ20" i="10"/>
  <c r="AQ39" i="10"/>
  <c r="AQ78" i="10"/>
  <c r="AQ29" i="10"/>
  <c r="AQ13" i="10"/>
  <c r="AQ77" i="10"/>
  <c r="AQ76" i="10"/>
  <c r="AQ75" i="10"/>
  <c r="AQ74" i="10"/>
  <c r="AQ73" i="10"/>
  <c r="AQ72" i="10"/>
  <c r="AQ21" i="10"/>
  <c r="AQ71" i="10"/>
  <c r="AQ16" i="10"/>
  <c r="AQ69" i="10"/>
  <c r="AQ68" i="10"/>
  <c r="AQ67" i="10"/>
  <c r="AQ66" i="10"/>
  <c r="AQ65" i="10"/>
  <c r="AQ12" i="10"/>
  <c r="AQ28" i="10"/>
  <c r="AQ64" i="10"/>
  <c r="AQ63" i="10"/>
  <c r="AQ62" i="10"/>
  <c r="AQ24" i="10"/>
  <c r="AQ61" i="10"/>
  <c r="AQ60" i="10"/>
  <c r="AQ59" i="10"/>
  <c r="AQ58" i="10"/>
  <c r="AQ11" i="10"/>
  <c r="AQ31" i="10"/>
  <c r="AQ38" i="10"/>
  <c r="AQ56" i="10"/>
  <c r="AQ18" i="10"/>
  <c r="AQ55" i="10"/>
  <c r="AQ19" i="10"/>
  <c r="AQ22" i="10"/>
  <c r="AQ54" i="10"/>
  <c r="AQ53" i="10"/>
  <c r="AQ10" i="10"/>
  <c r="AQ52" i="10"/>
  <c r="AQ51" i="10"/>
  <c r="AQ36" i="10"/>
  <c r="AQ9" i="10"/>
  <c r="AQ50" i="10"/>
  <c r="AQ49" i="10"/>
  <c r="AQ48" i="10"/>
  <c r="AQ8" i="10"/>
  <c r="AQ17" i="10"/>
  <c r="AQ47" i="10"/>
  <c r="AQ46" i="10"/>
  <c r="AQ23" i="10"/>
  <c r="AQ45" i="10"/>
  <c r="AQ44" i="10"/>
  <c r="AQ43" i="10"/>
  <c r="AQ42" i="10"/>
  <c r="AQ7" i="10"/>
  <c r="AQ6" i="10"/>
  <c r="AQ41" i="10"/>
  <c r="AQ40" i="10"/>
  <c r="AQ25" i="10"/>
  <c r="AQ5" i="10"/>
  <c r="AQ26" i="10"/>
  <c r="AQ30" i="10"/>
  <c r="AQ2" i="10"/>
  <c r="M47" i="7" l="1"/>
  <c r="AF37" i="10"/>
  <c r="A122" i="9"/>
  <c r="B122" i="9"/>
  <c r="A123" i="9"/>
  <c r="B123" i="9"/>
  <c r="A124" i="9"/>
  <c r="B124" i="9"/>
  <c r="A125" i="9"/>
  <c r="B125" i="9"/>
  <c r="A126" i="9"/>
  <c r="B126" i="9"/>
  <c r="A127" i="9"/>
  <c r="B127" i="9"/>
  <c r="A128" i="9"/>
  <c r="B128" i="9"/>
  <c r="B129" i="9"/>
  <c r="A121" i="9"/>
  <c r="B121" i="9"/>
  <c r="B120" i="9"/>
  <c r="A120" i="9"/>
  <c r="B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A129" i="1"/>
  <c r="A129" i="9" s="1"/>
  <c r="A185" i="9"/>
  <c r="B185" i="9"/>
  <c r="A186" i="9"/>
  <c r="B186" i="9"/>
  <c r="A187" i="9"/>
  <c r="B187" i="9"/>
  <c r="A188" i="9"/>
  <c r="B188" i="9"/>
  <c r="A189" i="9"/>
  <c r="B189" i="9"/>
  <c r="A190" i="9"/>
  <c r="B190" i="9"/>
  <c r="A191" i="9"/>
  <c r="B191" i="9"/>
  <c r="A192" i="9"/>
  <c r="B192" i="9"/>
  <c r="A193" i="9"/>
  <c r="B193" i="9"/>
  <c r="A194" i="9"/>
  <c r="B194" i="9"/>
  <c r="A195" i="9"/>
  <c r="B195" i="9"/>
  <c r="A196" i="9"/>
  <c r="B196" i="9"/>
  <c r="A197" i="9"/>
  <c r="B197" i="9"/>
  <c r="A198" i="9"/>
  <c r="B198" i="9"/>
  <c r="A199" i="9"/>
  <c r="B199" i="9"/>
  <c r="A200" i="9"/>
  <c r="B200" i="9"/>
  <c r="A201" i="9"/>
  <c r="B201" i="9"/>
  <c r="A202" i="9"/>
  <c r="B202" i="9"/>
  <c r="A203" i="9"/>
  <c r="B203" i="9"/>
  <c r="A204" i="9"/>
  <c r="B204" i="9"/>
  <c r="A205" i="9"/>
  <c r="B205" i="9"/>
  <c r="A206" i="9"/>
  <c r="B206" i="9"/>
  <c r="A207" i="9"/>
  <c r="B207" i="9"/>
  <c r="B208" i="9"/>
  <c r="B184" i="9"/>
  <c r="B183" i="9"/>
  <c r="A184" i="9"/>
  <c r="A183" i="9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B219" i="2"/>
  <c r="A195" i="2"/>
  <c r="A194" i="2"/>
  <c r="B195" i="2"/>
  <c r="B194" i="2"/>
  <c r="A219" i="1"/>
  <c r="A219" i="2" s="1"/>
  <c r="B175" i="9"/>
  <c r="A175" i="9"/>
  <c r="A155" i="9"/>
  <c r="B155" i="9"/>
  <c r="A156" i="9"/>
  <c r="B156" i="9"/>
  <c r="A157" i="9"/>
  <c r="B157" i="9"/>
  <c r="A158" i="9"/>
  <c r="B158" i="9"/>
  <c r="A159" i="9"/>
  <c r="B159" i="9"/>
  <c r="A160" i="9"/>
  <c r="B160" i="9"/>
  <c r="A161" i="9"/>
  <c r="B161" i="9"/>
  <c r="A162" i="9"/>
  <c r="B162" i="9"/>
  <c r="A163" i="9"/>
  <c r="B163" i="9"/>
  <c r="A164" i="9"/>
  <c r="B164" i="9"/>
  <c r="A165" i="9"/>
  <c r="B165" i="9"/>
  <c r="A166" i="9"/>
  <c r="B166" i="9"/>
  <c r="A167" i="9"/>
  <c r="B167" i="9"/>
  <c r="A168" i="9"/>
  <c r="B168" i="9"/>
  <c r="A169" i="9"/>
  <c r="B169" i="9"/>
  <c r="A170" i="9"/>
  <c r="B170" i="9"/>
  <c r="A171" i="9"/>
  <c r="B171" i="9"/>
  <c r="A172" i="9"/>
  <c r="B172" i="9"/>
  <c r="A173" i="9"/>
  <c r="B173" i="9"/>
  <c r="A174" i="9"/>
  <c r="B174" i="9"/>
  <c r="B154" i="9"/>
  <c r="B153" i="9"/>
  <c r="A154" i="9"/>
  <c r="A153" i="9"/>
  <c r="A164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65" i="2"/>
  <c r="B164" i="2"/>
  <c r="A208" i="9" l="1"/>
  <c r="A129" i="2"/>
  <c r="O149" i="4"/>
  <c r="K153" i="4"/>
  <c r="K152" i="4"/>
  <c r="K149" i="4"/>
  <c r="K148" i="4"/>
  <c r="L153" i="4" l="1"/>
  <c r="N153" i="4" s="1"/>
  <c r="L149" i="4"/>
  <c r="N149" i="4" s="1"/>
  <c r="CW1" i="8"/>
  <c r="DX1" i="8"/>
  <c r="DO1" i="8"/>
  <c r="DF1" i="8"/>
  <c r="CN1" i="8"/>
  <c r="CE1" i="8"/>
  <c r="BV1" i="8"/>
  <c r="BM1" i="8"/>
  <c r="BD1" i="8"/>
  <c r="AU1" i="8"/>
  <c r="AL1" i="8"/>
  <c r="AC1" i="8"/>
  <c r="T1" i="8"/>
  <c r="K1" i="8"/>
  <c r="K198" i="4" l="1"/>
  <c r="G191" i="4"/>
  <c r="F191" i="4"/>
  <c r="E191" i="4"/>
  <c r="G190" i="4"/>
  <c r="F190" i="4"/>
  <c r="E190" i="4"/>
  <c r="AC380" i="13"/>
  <c r="H334" i="13"/>
  <c r="H374" i="13"/>
  <c r="H353" i="13"/>
  <c r="H114" i="13"/>
  <c r="AH114" i="13" s="1"/>
  <c r="H337" i="13"/>
  <c r="H217" i="13"/>
  <c r="H367" i="13"/>
  <c r="H75" i="13"/>
  <c r="H142" i="13"/>
  <c r="H355" i="13"/>
  <c r="H431" i="13"/>
  <c r="H315" i="13"/>
  <c r="AH315" i="13" s="1"/>
  <c r="H241" i="13"/>
  <c r="H332" i="13"/>
  <c r="H213" i="13"/>
  <c r="H212" i="13"/>
  <c r="AI212" i="13" s="1"/>
  <c r="H103" i="13"/>
  <c r="H408" i="13"/>
  <c r="AH408" i="13" s="1"/>
  <c r="H379" i="13"/>
  <c r="AH379" i="13" s="1"/>
  <c r="H117" i="13"/>
  <c r="H342" i="13"/>
  <c r="H66" i="13"/>
  <c r="H183" i="13"/>
  <c r="AH183" i="13" s="1"/>
  <c r="H188" i="13"/>
  <c r="AI188" i="13" s="1"/>
  <c r="H254" i="13"/>
  <c r="H83" i="13"/>
  <c r="H328" i="13"/>
  <c r="H306" i="13"/>
  <c r="H126" i="13"/>
  <c r="H143" i="13"/>
  <c r="H376" i="13"/>
  <c r="G93" i="13"/>
  <c r="AH93" i="13" s="1"/>
  <c r="G257" i="13"/>
  <c r="G342" i="13"/>
  <c r="G149" i="13"/>
  <c r="G433" i="13"/>
  <c r="AH433" i="13" s="1"/>
  <c r="G116" i="13"/>
  <c r="G353" i="13"/>
  <c r="G101" i="13"/>
  <c r="G82" i="13"/>
  <c r="G223" i="13"/>
  <c r="G109" i="13"/>
  <c r="AH109" i="13" s="1"/>
  <c r="G77" i="13"/>
  <c r="AG77" i="13" s="1"/>
  <c r="G337" i="13"/>
  <c r="F117" i="13"/>
  <c r="E117" i="13"/>
  <c r="D117" i="13"/>
  <c r="AE117" i="13" s="1"/>
  <c r="C117" i="13"/>
  <c r="AD117" i="13" s="1"/>
  <c r="B117" i="13"/>
  <c r="G117" i="13"/>
  <c r="G66" i="13"/>
  <c r="G217" i="13"/>
  <c r="AH217" i="13" s="1"/>
  <c r="G288" i="13"/>
  <c r="G328" i="13"/>
  <c r="G75" i="13"/>
  <c r="AG75" i="13" s="1"/>
  <c r="G349" i="13"/>
  <c r="G188" i="13"/>
  <c r="G254" i="13"/>
  <c r="G160" i="13"/>
  <c r="G265" i="13"/>
  <c r="G83" i="13"/>
  <c r="G412" i="13"/>
  <c r="G332" i="13"/>
  <c r="G126" i="13"/>
  <c r="G143" i="13"/>
  <c r="G133" i="13"/>
  <c r="AH133" i="13" s="1"/>
  <c r="G321" i="13"/>
  <c r="G124" i="13"/>
  <c r="AG124" i="13" s="1"/>
  <c r="G213" i="13"/>
  <c r="G212" i="13"/>
  <c r="G376" i="13"/>
  <c r="G431" i="13"/>
  <c r="G103" i="13"/>
  <c r="F101" i="13"/>
  <c r="F266" i="13"/>
  <c r="F268" i="13"/>
  <c r="F183" i="13"/>
  <c r="F324" i="13"/>
  <c r="AF324" i="13" s="1"/>
  <c r="AF54" i="13"/>
  <c r="F109" i="13"/>
  <c r="AF109" i="13" s="1"/>
  <c r="F374" i="13"/>
  <c r="F337" i="13"/>
  <c r="F361" i="13"/>
  <c r="E361" i="13"/>
  <c r="AE361" i="13" s="1"/>
  <c r="F188" i="13"/>
  <c r="F254" i="13"/>
  <c r="F60" i="13"/>
  <c r="F83" i="13"/>
  <c r="F28" i="13"/>
  <c r="F298" i="13"/>
  <c r="F431" i="13"/>
  <c r="AF431" i="13" s="1"/>
  <c r="F198" i="13"/>
  <c r="AG198" i="13" s="1"/>
  <c r="F213" i="13"/>
  <c r="F318" i="13"/>
  <c r="F412" i="13"/>
  <c r="F376" i="13"/>
  <c r="F214" i="13"/>
  <c r="E265" i="13"/>
  <c r="F428" i="13"/>
  <c r="AG428" i="13" s="1"/>
  <c r="F115" i="13"/>
  <c r="AG115" i="13" s="1"/>
  <c r="F160" i="13"/>
  <c r="F126" i="13"/>
  <c r="F212" i="13"/>
  <c r="AX437" i="13"/>
  <c r="AW437" i="13"/>
  <c r="AV437" i="13"/>
  <c r="AU437" i="13"/>
  <c r="AT437" i="13"/>
  <c r="AS437" i="13"/>
  <c r="AR437" i="13"/>
  <c r="AQ437" i="13"/>
  <c r="AP437" i="13"/>
  <c r="AO437" i="13"/>
  <c r="AN437" i="13"/>
  <c r="AM437" i="13"/>
  <c r="AL437" i="13"/>
  <c r="AK437" i="13"/>
  <c r="AJ437" i="13"/>
  <c r="AI437" i="13"/>
  <c r="AH437" i="13"/>
  <c r="AG437" i="13"/>
  <c r="AF437" i="13"/>
  <c r="AE437" i="13"/>
  <c r="AD437" i="13"/>
  <c r="AC437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X40" i="13"/>
  <c r="AW40" i="13"/>
  <c r="AV40" i="13"/>
  <c r="AU40" i="13"/>
  <c r="AT40" i="13"/>
  <c r="AS40" i="13"/>
  <c r="AR40" i="13"/>
  <c r="AQ40" i="13"/>
  <c r="AP40" i="13"/>
  <c r="AO40" i="13"/>
  <c r="AN40" i="13"/>
  <c r="AM40" i="13"/>
  <c r="AL40" i="13"/>
  <c r="AK40" i="13"/>
  <c r="AJ40" i="13"/>
  <c r="AI40" i="13"/>
  <c r="AH40" i="13"/>
  <c r="AG40" i="13"/>
  <c r="AF40" i="13"/>
  <c r="AE40" i="13"/>
  <c r="AD40" i="13"/>
  <c r="AC40" i="13"/>
  <c r="AX237" i="13"/>
  <c r="AW237" i="13"/>
  <c r="AV237" i="13"/>
  <c r="AU237" i="13"/>
  <c r="AT237" i="13"/>
  <c r="AS237" i="13"/>
  <c r="AR237" i="13"/>
  <c r="AQ237" i="13"/>
  <c r="AP237" i="13"/>
  <c r="AO237" i="13"/>
  <c r="AN237" i="13"/>
  <c r="AM237" i="13"/>
  <c r="AL237" i="13"/>
  <c r="AK237" i="13"/>
  <c r="AJ237" i="13"/>
  <c r="AI237" i="13"/>
  <c r="AH237" i="13"/>
  <c r="AG237" i="13"/>
  <c r="AF237" i="13"/>
  <c r="AE237" i="13"/>
  <c r="AD237" i="13"/>
  <c r="AC237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AE33" i="13"/>
  <c r="AD33" i="13"/>
  <c r="AC33" i="13"/>
  <c r="AX18" i="13"/>
  <c r="AW18" i="13"/>
  <c r="AV18" i="13"/>
  <c r="AU18" i="13"/>
  <c r="AT18" i="13"/>
  <c r="AS18" i="13"/>
  <c r="AR18" i="13"/>
  <c r="AQ18" i="13"/>
  <c r="AP18" i="13"/>
  <c r="AO18" i="13"/>
  <c r="AN18" i="13"/>
  <c r="AM18" i="13"/>
  <c r="AL18" i="13"/>
  <c r="AK18" i="13"/>
  <c r="AJ18" i="13"/>
  <c r="AI18" i="13"/>
  <c r="AH18" i="13"/>
  <c r="AG18" i="13"/>
  <c r="AF18" i="13"/>
  <c r="AE18" i="13"/>
  <c r="AD18" i="13"/>
  <c r="AC18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X37" i="13"/>
  <c r="AW37" i="13"/>
  <c r="AV37" i="13"/>
  <c r="AU37" i="13"/>
  <c r="AT37" i="13"/>
  <c r="AS37" i="13"/>
  <c r="AR37" i="13"/>
  <c r="AQ37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X43" i="13"/>
  <c r="AW43" i="13"/>
  <c r="AV43" i="13"/>
  <c r="AU43" i="13"/>
  <c r="AT43" i="13"/>
  <c r="AS43" i="13"/>
  <c r="AR43" i="13"/>
  <c r="AQ43" i="13"/>
  <c r="AP43" i="13"/>
  <c r="AO43" i="13"/>
  <c r="AN43" i="13"/>
  <c r="AM43" i="13"/>
  <c r="AL43" i="13"/>
  <c r="AK43" i="13"/>
  <c r="AJ43" i="13"/>
  <c r="AI43" i="13"/>
  <c r="AH43" i="13"/>
  <c r="AG43" i="13"/>
  <c r="AF43" i="13"/>
  <c r="AE43" i="13"/>
  <c r="AD43" i="13"/>
  <c r="AC43" i="13"/>
  <c r="AX6" i="13"/>
  <c r="AW6" i="13"/>
  <c r="AV6" i="13"/>
  <c r="AU6" i="13"/>
  <c r="AT6" i="13"/>
  <c r="AS6" i="13"/>
  <c r="AR6" i="13"/>
  <c r="AQ6" i="13"/>
  <c r="AP6" i="13"/>
  <c r="AO6" i="13"/>
  <c r="AN6" i="13"/>
  <c r="AM6" i="13"/>
  <c r="AL6" i="13"/>
  <c r="AK6" i="13"/>
  <c r="AJ6" i="13"/>
  <c r="AI6" i="13"/>
  <c r="AH6" i="13"/>
  <c r="AG6" i="13"/>
  <c r="AF6" i="13"/>
  <c r="AE6" i="13"/>
  <c r="AD6" i="13"/>
  <c r="AC6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X42" i="13"/>
  <c r="AW42" i="13"/>
  <c r="AV42" i="13"/>
  <c r="AU42" i="13"/>
  <c r="AT42" i="13"/>
  <c r="AS42" i="13"/>
  <c r="AR42" i="13"/>
  <c r="AQ42" i="13"/>
  <c r="AP42" i="13"/>
  <c r="AO42" i="13"/>
  <c r="AN42" i="13"/>
  <c r="AM42" i="13"/>
  <c r="AL42" i="13"/>
  <c r="AK42" i="13"/>
  <c r="AJ42" i="13"/>
  <c r="AI42" i="13"/>
  <c r="AH42" i="13"/>
  <c r="AG42" i="13"/>
  <c r="AF42" i="13"/>
  <c r="AE42" i="13"/>
  <c r="AD42" i="13"/>
  <c r="AC42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X44" i="13"/>
  <c r="AW44" i="13"/>
  <c r="AV44" i="13"/>
  <c r="AU44" i="13"/>
  <c r="AT44" i="13"/>
  <c r="AS44" i="13"/>
  <c r="AR44" i="13"/>
  <c r="AQ44" i="13"/>
  <c r="AP44" i="13"/>
  <c r="AO44" i="13"/>
  <c r="AN44" i="13"/>
  <c r="AM44" i="13"/>
  <c r="AL44" i="13"/>
  <c r="AK44" i="13"/>
  <c r="AJ44" i="13"/>
  <c r="AI44" i="13"/>
  <c r="AH44" i="13"/>
  <c r="AG44" i="13"/>
  <c r="AF44" i="13"/>
  <c r="AE44" i="13"/>
  <c r="AD44" i="13"/>
  <c r="AC44" i="13"/>
  <c r="AX45" i="13"/>
  <c r="AW45" i="13"/>
  <c r="AV45" i="13"/>
  <c r="AU45" i="13"/>
  <c r="AT45" i="13"/>
  <c r="AS45" i="13"/>
  <c r="AR45" i="13"/>
  <c r="AQ45" i="13"/>
  <c r="AP45" i="13"/>
  <c r="AO45" i="13"/>
  <c r="AN45" i="13"/>
  <c r="AM45" i="13"/>
  <c r="AL45" i="13"/>
  <c r="AK45" i="13"/>
  <c r="AJ45" i="13"/>
  <c r="AI45" i="13"/>
  <c r="AH45" i="13"/>
  <c r="AG45" i="13"/>
  <c r="AF45" i="13"/>
  <c r="AE45" i="13"/>
  <c r="AD45" i="13"/>
  <c r="AC45" i="13"/>
  <c r="AX38" i="13"/>
  <c r="AW38" i="13"/>
  <c r="AV38" i="13"/>
  <c r="AU38" i="13"/>
  <c r="AT38" i="13"/>
  <c r="AS38" i="13"/>
  <c r="AR38" i="13"/>
  <c r="AQ38" i="13"/>
  <c r="AP38" i="13"/>
  <c r="AO38" i="13"/>
  <c r="AN38" i="13"/>
  <c r="AM38" i="13"/>
  <c r="AL38" i="13"/>
  <c r="AK38" i="13"/>
  <c r="AJ38" i="13"/>
  <c r="AI38" i="13"/>
  <c r="AH38" i="13"/>
  <c r="AG38" i="13"/>
  <c r="AF38" i="13"/>
  <c r="AE38" i="13"/>
  <c r="AD38" i="13"/>
  <c r="AC38" i="13"/>
  <c r="AX34" i="13"/>
  <c r="AW34" i="13"/>
  <c r="AV34" i="13"/>
  <c r="AU34" i="13"/>
  <c r="AT34" i="13"/>
  <c r="AS34" i="13"/>
  <c r="AR34" i="13"/>
  <c r="AQ34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X365" i="13"/>
  <c r="AW365" i="13"/>
  <c r="AV365" i="13"/>
  <c r="AU365" i="13"/>
  <c r="AT365" i="13"/>
  <c r="AS365" i="13"/>
  <c r="AR365" i="13"/>
  <c r="AQ365" i="13"/>
  <c r="AP365" i="13"/>
  <c r="AO365" i="13"/>
  <c r="AN365" i="13"/>
  <c r="AM365" i="13"/>
  <c r="AL365" i="13"/>
  <c r="AK365" i="13"/>
  <c r="AJ365" i="13"/>
  <c r="AI365" i="13"/>
  <c r="AH365" i="13"/>
  <c r="AG365" i="13"/>
  <c r="AF365" i="13"/>
  <c r="AE365" i="13"/>
  <c r="AD365" i="13"/>
  <c r="AC365" i="13"/>
  <c r="AX41" i="13"/>
  <c r="AW41" i="13"/>
  <c r="AV41" i="13"/>
  <c r="AU41" i="13"/>
  <c r="AT41" i="13"/>
  <c r="AS41" i="13"/>
  <c r="AR41" i="13"/>
  <c r="AQ41" i="13"/>
  <c r="AP41" i="13"/>
  <c r="AO41" i="13"/>
  <c r="AN41" i="13"/>
  <c r="AM41" i="13"/>
  <c r="AL41" i="13"/>
  <c r="AK41" i="13"/>
  <c r="AJ41" i="13"/>
  <c r="AI41" i="13"/>
  <c r="AH41" i="13"/>
  <c r="AG41" i="13"/>
  <c r="AF41" i="13"/>
  <c r="AE41" i="13"/>
  <c r="AD41" i="13"/>
  <c r="AC41" i="13"/>
  <c r="AX112" i="13"/>
  <c r="AW112" i="13"/>
  <c r="AV112" i="13"/>
  <c r="AU112" i="13"/>
  <c r="AT112" i="13"/>
  <c r="AS112" i="13"/>
  <c r="AR112" i="13"/>
  <c r="AQ112" i="13"/>
  <c r="AP112" i="13"/>
  <c r="AO112" i="13"/>
  <c r="AN112" i="13"/>
  <c r="AM112" i="13"/>
  <c r="AL112" i="13"/>
  <c r="AK112" i="13"/>
  <c r="AJ112" i="13"/>
  <c r="AI112" i="13"/>
  <c r="AH112" i="13"/>
  <c r="AG112" i="13"/>
  <c r="AF112" i="13"/>
  <c r="AE112" i="13"/>
  <c r="AD112" i="13"/>
  <c r="AC112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X139" i="13"/>
  <c r="AW139" i="13"/>
  <c r="AV139" i="13"/>
  <c r="AU139" i="13"/>
  <c r="AT139" i="13"/>
  <c r="AS139" i="13"/>
  <c r="AR139" i="13"/>
  <c r="AQ139" i="13"/>
  <c r="AP139" i="13"/>
  <c r="AO139" i="13"/>
  <c r="AN139" i="13"/>
  <c r="AM139" i="13"/>
  <c r="AL139" i="13"/>
  <c r="AK139" i="13"/>
  <c r="AJ139" i="13"/>
  <c r="AI139" i="13"/>
  <c r="AH139" i="13"/>
  <c r="AG139" i="13"/>
  <c r="AF139" i="13"/>
  <c r="AE139" i="13"/>
  <c r="AD139" i="13"/>
  <c r="AC139" i="13"/>
  <c r="AX369" i="13"/>
  <c r="AW369" i="13"/>
  <c r="AV369" i="13"/>
  <c r="AU369" i="13"/>
  <c r="AT369" i="13"/>
  <c r="AS369" i="13"/>
  <c r="AR369" i="13"/>
  <c r="AQ369" i="13"/>
  <c r="AP369" i="13"/>
  <c r="AO369" i="13"/>
  <c r="AN369" i="13"/>
  <c r="AM369" i="13"/>
  <c r="AL369" i="13"/>
  <c r="AK369" i="13"/>
  <c r="AJ369" i="13"/>
  <c r="AI369" i="13"/>
  <c r="AH369" i="13"/>
  <c r="AG369" i="13"/>
  <c r="AF369" i="13"/>
  <c r="AE369" i="13"/>
  <c r="AD369" i="13"/>
  <c r="AC369" i="13"/>
  <c r="AX137" i="13"/>
  <c r="AW137" i="13"/>
  <c r="AV137" i="13"/>
  <c r="AU137" i="13"/>
  <c r="AT137" i="13"/>
  <c r="AS137" i="13"/>
  <c r="AR137" i="13"/>
  <c r="AQ137" i="13"/>
  <c r="AP137" i="13"/>
  <c r="AO137" i="13"/>
  <c r="AN137" i="13"/>
  <c r="AM137" i="13"/>
  <c r="AL137" i="13"/>
  <c r="AK137" i="13"/>
  <c r="AJ137" i="13"/>
  <c r="AI137" i="13"/>
  <c r="AH137" i="13"/>
  <c r="AG137" i="13"/>
  <c r="AF137" i="13"/>
  <c r="AE137" i="13"/>
  <c r="AD137" i="13"/>
  <c r="AC137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X404" i="13"/>
  <c r="AW404" i="13"/>
  <c r="AV404" i="13"/>
  <c r="AU404" i="13"/>
  <c r="AT404" i="13"/>
  <c r="AS404" i="13"/>
  <c r="AR404" i="13"/>
  <c r="AQ404" i="13"/>
  <c r="AP404" i="13"/>
  <c r="AO404" i="13"/>
  <c r="AN404" i="13"/>
  <c r="AM404" i="13"/>
  <c r="AL404" i="13"/>
  <c r="AK404" i="13"/>
  <c r="AJ404" i="13"/>
  <c r="AI404" i="13"/>
  <c r="AH404" i="13"/>
  <c r="AG404" i="13"/>
  <c r="AF404" i="13"/>
  <c r="AE404" i="13"/>
  <c r="AD404" i="13"/>
  <c r="AC404" i="13"/>
  <c r="AX334" i="13"/>
  <c r="AW334" i="13"/>
  <c r="AV334" i="13"/>
  <c r="AU334" i="13"/>
  <c r="AT334" i="13"/>
  <c r="AS334" i="13"/>
  <c r="AR334" i="13"/>
  <c r="AQ334" i="13"/>
  <c r="AP334" i="13"/>
  <c r="AO334" i="13"/>
  <c r="AN334" i="13"/>
  <c r="AM334" i="13"/>
  <c r="AL334" i="13"/>
  <c r="AK334" i="13"/>
  <c r="AJ334" i="13"/>
  <c r="AI334" i="13"/>
  <c r="AH334" i="13"/>
  <c r="AG334" i="13"/>
  <c r="AF334" i="13"/>
  <c r="AE334" i="13"/>
  <c r="AD334" i="13"/>
  <c r="AC334" i="13"/>
  <c r="AX114" i="13"/>
  <c r="AW114" i="13"/>
  <c r="AV114" i="13"/>
  <c r="AU114" i="13"/>
  <c r="AT114" i="13"/>
  <c r="AS114" i="13"/>
  <c r="AR114" i="13"/>
  <c r="AQ114" i="13"/>
  <c r="AP114" i="13"/>
  <c r="AO114" i="13"/>
  <c r="AN114" i="13"/>
  <c r="AM114" i="13"/>
  <c r="AL114" i="13"/>
  <c r="AK114" i="13"/>
  <c r="AJ114" i="13"/>
  <c r="AG114" i="13"/>
  <c r="AF114" i="13"/>
  <c r="AE114" i="13"/>
  <c r="AD114" i="13"/>
  <c r="AC114" i="13"/>
  <c r="AX367" i="13"/>
  <c r="AW367" i="13"/>
  <c r="AV367" i="13"/>
  <c r="AU367" i="13"/>
  <c r="AT367" i="13"/>
  <c r="AS367" i="13"/>
  <c r="AR367" i="13"/>
  <c r="AQ367" i="13"/>
  <c r="AP367" i="13"/>
  <c r="AO367" i="13"/>
  <c r="AN367" i="13"/>
  <c r="AM367" i="13"/>
  <c r="AL367" i="13"/>
  <c r="AK367" i="13"/>
  <c r="AJ367" i="13"/>
  <c r="AG367" i="13"/>
  <c r="AF367" i="13"/>
  <c r="AE367" i="13"/>
  <c r="AD367" i="13"/>
  <c r="AC367" i="13"/>
  <c r="AX142" i="13"/>
  <c r="AW142" i="13"/>
  <c r="AV142" i="13"/>
  <c r="AU142" i="13"/>
  <c r="AT142" i="13"/>
  <c r="AS142" i="13"/>
  <c r="AR142" i="13"/>
  <c r="AQ142" i="13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X355" i="13"/>
  <c r="AW355" i="13"/>
  <c r="AV355" i="13"/>
  <c r="AU355" i="13"/>
  <c r="AT355" i="13"/>
  <c r="AS355" i="13"/>
  <c r="AR355" i="13"/>
  <c r="AQ355" i="13"/>
  <c r="AP355" i="13"/>
  <c r="AO355" i="13"/>
  <c r="AN355" i="13"/>
  <c r="AM355" i="13"/>
  <c r="AL355" i="13"/>
  <c r="AK355" i="13"/>
  <c r="AJ355" i="13"/>
  <c r="AI355" i="13"/>
  <c r="AH355" i="13"/>
  <c r="AG355" i="13"/>
  <c r="AF355" i="13"/>
  <c r="AE355" i="13"/>
  <c r="AD355" i="13"/>
  <c r="AC355" i="13"/>
  <c r="AX93" i="13"/>
  <c r="AW93" i="13"/>
  <c r="AV93" i="13"/>
  <c r="AU93" i="13"/>
  <c r="AT93" i="13"/>
  <c r="AS93" i="13"/>
  <c r="AR93" i="13"/>
  <c r="AQ93" i="13"/>
  <c r="AP93" i="13"/>
  <c r="AO93" i="13"/>
  <c r="AN93" i="13"/>
  <c r="AM93" i="13"/>
  <c r="AL93" i="13"/>
  <c r="AK93" i="13"/>
  <c r="AJ93" i="13"/>
  <c r="AI93" i="13"/>
  <c r="AF93" i="13"/>
  <c r="AE93" i="13"/>
  <c r="AD93" i="13"/>
  <c r="AC93" i="13"/>
  <c r="AX257" i="13"/>
  <c r="AW257" i="13"/>
  <c r="AV257" i="13"/>
  <c r="AU257" i="13"/>
  <c r="AT257" i="13"/>
  <c r="AS257" i="13"/>
  <c r="AR257" i="13"/>
  <c r="AQ257" i="13"/>
  <c r="AP257" i="13"/>
  <c r="AO257" i="13"/>
  <c r="AN257" i="13"/>
  <c r="AM257" i="13"/>
  <c r="AL257" i="13"/>
  <c r="AK257" i="13"/>
  <c r="AJ257" i="13"/>
  <c r="AI257" i="13"/>
  <c r="AH257" i="13"/>
  <c r="AG257" i="13"/>
  <c r="AF257" i="13"/>
  <c r="AE257" i="13"/>
  <c r="AD257" i="13"/>
  <c r="AC257" i="13"/>
  <c r="AX116" i="13"/>
  <c r="AW116" i="13"/>
  <c r="AV116" i="13"/>
  <c r="AU116" i="13"/>
  <c r="AT116" i="13"/>
  <c r="AS116" i="13"/>
  <c r="AR116" i="13"/>
  <c r="AQ116" i="13"/>
  <c r="AP116" i="13"/>
  <c r="AO116" i="13"/>
  <c r="AN116" i="13"/>
  <c r="AM116" i="13"/>
  <c r="AL116" i="13"/>
  <c r="AK116" i="13"/>
  <c r="AJ116" i="13"/>
  <c r="AI116" i="13"/>
  <c r="AF116" i="13"/>
  <c r="AE116" i="13"/>
  <c r="AD116" i="13"/>
  <c r="AC116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F82" i="13"/>
  <c r="AE82" i="13"/>
  <c r="AD82" i="13"/>
  <c r="AC82" i="13"/>
  <c r="AX223" i="13"/>
  <c r="AW223" i="13"/>
  <c r="AV223" i="13"/>
  <c r="AU223" i="13"/>
  <c r="AT223" i="13"/>
  <c r="AS223" i="13"/>
  <c r="AR223" i="13"/>
  <c r="AQ223" i="13"/>
  <c r="AP223" i="13"/>
  <c r="AO223" i="13"/>
  <c r="AN223" i="13"/>
  <c r="AM223" i="13"/>
  <c r="AL223" i="13"/>
  <c r="AK223" i="13"/>
  <c r="AJ223" i="13"/>
  <c r="AI223" i="13"/>
  <c r="AF223" i="13"/>
  <c r="AE223" i="13"/>
  <c r="AD223" i="13"/>
  <c r="AC223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F77" i="13"/>
  <c r="AE77" i="13"/>
  <c r="AD77" i="13"/>
  <c r="AC77" i="13"/>
  <c r="AX217" i="13"/>
  <c r="AW217" i="13"/>
  <c r="AV217" i="13"/>
  <c r="AU217" i="13"/>
  <c r="AT217" i="13"/>
  <c r="AS217" i="13"/>
  <c r="AR217" i="13"/>
  <c r="AQ217" i="13"/>
  <c r="AP217" i="13"/>
  <c r="AO217" i="13"/>
  <c r="AN217" i="13"/>
  <c r="AM217" i="13"/>
  <c r="AL217" i="13"/>
  <c r="AK217" i="13"/>
  <c r="AJ217" i="13"/>
  <c r="AI217" i="13"/>
  <c r="AF217" i="13"/>
  <c r="AE217" i="13"/>
  <c r="AD217" i="13"/>
  <c r="AC217" i="13"/>
  <c r="AX143" i="13"/>
  <c r="AW143" i="13"/>
  <c r="AV143" i="13"/>
  <c r="AU143" i="13"/>
  <c r="AT143" i="13"/>
  <c r="AS143" i="13"/>
  <c r="AR143" i="13"/>
  <c r="AQ143" i="13"/>
  <c r="AP143" i="13"/>
  <c r="AO143" i="13"/>
  <c r="AN143" i="13"/>
  <c r="AM143" i="13"/>
  <c r="AL143" i="13"/>
  <c r="AK143" i="13"/>
  <c r="AJ143" i="13"/>
  <c r="AG143" i="13"/>
  <c r="AF143" i="13"/>
  <c r="AE143" i="13"/>
  <c r="AD143" i="13"/>
  <c r="AC143" i="13"/>
  <c r="AX133" i="13"/>
  <c r="AW133" i="13"/>
  <c r="AV133" i="13"/>
  <c r="AU133" i="13"/>
  <c r="AT133" i="13"/>
  <c r="AS133" i="13"/>
  <c r="AR133" i="13"/>
  <c r="AQ133" i="13"/>
  <c r="AP133" i="13"/>
  <c r="AO133" i="13"/>
  <c r="AN133" i="13"/>
  <c r="AM133" i="13"/>
  <c r="AL133" i="13"/>
  <c r="AK133" i="13"/>
  <c r="AJ133" i="13"/>
  <c r="AI133" i="13"/>
  <c r="AG133" i="13"/>
  <c r="AF133" i="13"/>
  <c r="AE133" i="13"/>
  <c r="AD133" i="13"/>
  <c r="AC133" i="13"/>
  <c r="AX321" i="13"/>
  <c r="AW321" i="13"/>
  <c r="AV321" i="13"/>
  <c r="AU321" i="13"/>
  <c r="AT321" i="13"/>
  <c r="AS321" i="13"/>
  <c r="AR321" i="13"/>
  <c r="AQ321" i="13"/>
  <c r="AP321" i="13"/>
  <c r="AO321" i="13"/>
  <c r="AN321" i="13"/>
  <c r="AM321" i="13"/>
  <c r="AL321" i="13"/>
  <c r="AK321" i="13"/>
  <c r="AJ321" i="13"/>
  <c r="AI321" i="13"/>
  <c r="AH321" i="13"/>
  <c r="AG321" i="13"/>
  <c r="AF321" i="13"/>
  <c r="AE321" i="13"/>
  <c r="AD321" i="13"/>
  <c r="AC321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F124" i="13"/>
  <c r="AE124" i="13"/>
  <c r="AD124" i="13"/>
  <c r="AC124" i="13"/>
  <c r="AX268" i="13"/>
  <c r="AW268" i="13"/>
  <c r="AV268" i="13"/>
  <c r="AU268" i="13"/>
  <c r="AT268" i="13"/>
  <c r="AS268" i="13"/>
  <c r="AR268" i="13"/>
  <c r="AQ268" i="13"/>
  <c r="AP268" i="13"/>
  <c r="AO268" i="13"/>
  <c r="AN268" i="13"/>
  <c r="AM268" i="13"/>
  <c r="AL268" i="13"/>
  <c r="AK268" i="13"/>
  <c r="AJ268" i="13"/>
  <c r="AI268" i="13"/>
  <c r="AH268" i="13"/>
  <c r="AE268" i="13"/>
  <c r="AD268" i="13"/>
  <c r="AC268" i="13"/>
  <c r="AX183" i="13"/>
  <c r="AW183" i="13"/>
  <c r="AV183" i="13"/>
  <c r="AU183" i="13"/>
  <c r="AT183" i="13"/>
  <c r="AS183" i="13"/>
  <c r="AR183" i="13"/>
  <c r="AQ183" i="13"/>
  <c r="AP183" i="13"/>
  <c r="AO183" i="13"/>
  <c r="AN183" i="13"/>
  <c r="AM183" i="13"/>
  <c r="AL183" i="13"/>
  <c r="AK183" i="13"/>
  <c r="AJ183" i="13"/>
  <c r="AG183" i="13"/>
  <c r="AF183" i="13"/>
  <c r="AE183" i="13"/>
  <c r="AD183" i="13"/>
  <c r="AC183" i="13"/>
  <c r="AX324" i="13"/>
  <c r="AW324" i="13"/>
  <c r="AV324" i="13"/>
  <c r="AU324" i="13"/>
  <c r="AT324" i="13"/>
  <c r="AS324" i="13"/>
  <c r="AR324" i="13"/>
  <c r="AQ324" i="13"/>
  <c r="AP324" i="13"/>
  <c r="AO324" i="13"/>
  <c r="AN324" i="13"/>
  <c r="AM324" i="13"/>
  <c r="AL324" i="13"/>
  <c r="AK324" i="13"/>
  <c r="AJ324" i="13"/>
  <c r="AI324" i="13"/>
  <c r="AH324" i="13"/>
  <c r="AG324" i="13"/>
  <c r="AE324" i="13"/>
  <c r="AD324" i="13"/>
  <c r="AC324" i="13"/>
  <c r="AX109" i="13"/>
  <c r="AW109" i="13"/>
  <c r="AV109" i="13"/>
  <c r="AU109" i="13"/>
  <c r="AT109" i="13"/>
  <c r="AS109" i="13"/>
  <c r="AR109" i="13"/>
  <c r="AQ109" i="13"/>
  <c r="AP109" i="13"/>
  <c r="AO109" i="13"/>
  <c r="AN109" i="13"/>
  <c r="AM109" i="13"/>
  <c r="AL109" i="13"/>
  <c r="AK109" i="13"/>
  <c r="AJ109" i="13"/>
  <c r="AI109" i="13"/>
  <c r="AE109" i="13"/>
  <c r="AD109" i="13"/>
  <c r="AC109" i="13"/>
  <c r="AX60" i="13"/>
  <c r="AW60" i="13"/>
  <c r="AV60" i="13"/>
  <c r="AU60" i="13"/>
  <c r="AT60" i="13"/>
  <c r="AS60" i="13"/>
  <c r="AR60" i="13"/>
  <c r="AQ60" i="13"/>
  <c r="AP60" i="13"/>
  <c r="AO60" i="13"/>
  <c r="AN60" i="13"/>
  <c r="AM60" i="13"/>
  <c r="AL60" i="13"/>
  <c r="AK60" i="13"/>
  <c r="AJ60" i="13"/>
  <c r="AI60" i="13"/>
  <c r="AH60" i="13"/>
  <c r="AE60" i="13"/>
  <c r="AD60" i="13"/>
  <c r="AC60" i="13"/>
  <c r="AX431" i="13"/>
  <c r="AW431" i="13"/>
  <c r="AV431" i="13"/>
  <c r="AU431" i="13"/>
  <c r="AT431" i="13"/>
  <c r="AS431" i="13"/>
  <c r="AR431" i="13"/>
  <c r="AQ431" i="13"/>
  <c r="AP431" i="13"/>
  <c r="AO431" i="13"/>
  <c r="AN431" i="13"/>
  <c r="AM431" i="13"/>
  <c r="AL431" i="13"/>
  <c r="AK431" i="13"/>
  <c r="AJ431" i="13"/>
  <c r="AI431" i="13"/>
  <c r="AE431" i="13"/>
  <c r="AD431" i="13"/>
  <c r="AC431" i="13"/>
  <c r="AX198" i="13"/>
  <c r="AW198" i="13"/>
  <c r="AV198" i="13"/>
  <c r="AU198" i="13"/>
  <c r="AT198" i="13"/>
  <c r="AS198" i="13"/>
  <c r="AR198" i="13"/>
  <c r="AQ198" i="13"/>
  <c r="AP198" i="13"/>
  <c r="AO198" i="13"/>
  <c r="AN198" i="13"/>
  <c r="AM198" i="13"/>
  <c r="AL198" i="13"/>
  <c r="AK198" i="13"/>
  <c r="AJ198" i="13"/>
  <c r="AI198" i="13"/>
  <c r="AH198" i="13"/>
  <c r="AE198" i="13"/>
  <c r="AD198" i="13"/>
  <c r="AC198" i="13"/>
  <c r="AX214" i="13"/>
  <c r="AW214" i="13"/>
  <c r="AV214" i="13"/>
  <c r="AU214" i="13"/>
  <c r="AT214" i="13"/>
  <c r="AS214" i="13"/>
  <c r="AR214" i="13"/>
  <c r="AQ214" i="13"/>
  <c r="AP214" i="13"/>
  <c r="AO214" i="13"/>
  <c r="AN214" i="13"/>
  <c r="AM214" i="13"/>
  <c r="AL214" i="13"/>
  <c r="AK214" i="13"/>
  <c r="AJ214" i="13"/>
  <c r="AI214" i="13"/>
  <c r="AH214" i="13"/>
  <c r="AG214" i="13"/>
  <c r="AF214" i="13"/>
  <c r="AE214" i="13"/>
  <c r="AD214" i="13"/>
  <c r="AC214" i="13"/>
  <c r="E86" i="13"/>
  <c r="AE86" i="13" s="1"/>
  <c r="E167" i="13"/>
  <c r="E243" i="13"/>
  <c r="AF243" i="13" s="1"/>
  <c r="E295" i="13"/>
  <c r="AE295" i="13" s="1"/>
  <c r="E433" i="13"/>
  <c r="AF433" i="13" s="1"/>
  <c r="E127" i="13"/>
  <c r="AF127" i="13" s="1"/>
  <c r="E266" i="13"/>
  <c r="E346" i="13"/>
  <c r="AF346" i="13" s="1"/>
  <c r="E344" i="13"/>
  <c r="AE344" i="13" s="1"/>
  <c r="E259" i="13"/>
  <c r="AE259" i="13" s="1"/>
  <c r="E317" i="13"/>
  <c r="E153" i="13"/>
  <c r="AF153" i="13" s="1"/>
  <c r="E213" i="13"/>
  <c r="E260" i="13"/>
  <c r="E222" i="13"/>
  <c r="AF222" i="13" s="1"/>
  <c r="E298" i="13"/>
  <c r="E376" i="13"/>
  <c r="E126" i="13"/>
  <c r="E318" i="13"/>
  <c r="AF318" i="13" s="1"/>
  <c r="E160" i="13"/>
  <c r="AF160" i="13" s="1"/>
  <c r="E311" i="13"/>
  <c r="AF311" i="13" s="1"/>
  <c r="E106" i="13"/>
  <c r="AE106" i="13" s="1"/>
  <c r="E83" i="13"/>
  <c r="E412" i="13"/>
  <c r="AE412" i="13" s="1"/>
  <c r="E98" i="13"/>
  <c r="AE98" i="13" s="1"/>
  <c r="E428" i="13"/>
  <c r="E115" i="13"/>
  <c r="E212" i="13"/>
  <c r="D202" i="13"/>
  <c r="AD202" i="13" s="1"/>
  <c r="D386" i="13"/>
  <c r="AD386" i="13" s="1"/>
  <c r="D266" i="13"/>
  <c r="AD266" i="13" s="1"/>
  <c r="D342" i="13"/>
  <c r="AD342" i="13" s="1"/>
  <c r="D243" i="13"/>
  <c r="AD243" i="13" s="1"/>
  <c r="D255" i="13"/>
  <c r="D153" i="13"/>
  <c r="D346" i="13"/>
  <c r="AD346" i="13" s="1"/>
  <c r="D80" i="13"/>
  <c r="AD80" i="13" s="1"/>
  <c r="D262" i="13"/>
  <c r="D299" i="13"/>
  <c r="AE299" i="13" s="1"/>
  <c r="D318" i="13"/>
  <c r="D205" i="13"/>
  <c r="C126" i="13"/>
  <c r="D126" i="13"/>
  <c r="D213" i="13"/>
  <c r="AD213" i="13" s="1"/>
  <c r="D376" i="13"/>
  <c r="AD376" i="13" s="1"/>
  <c r="D115" i="13"/>
  <c r="D167" i="13"/>
  <c r="AD167" i="13" s="1"/>
  <c r="D317" i="13"/>
  <c r="D429" i="13"/>
  <c r="AE429" i="13" s="1"/>
  <c r="D373" i="13"/>
  <c r="D70" i="13"/>
  <c r="AE70" i="13" s="1"/>
  <c r="D349" i="13"/>
  <c r="D371" i="13"/>
  <c r="AE371" i="13" s="1"/>
  <c r="D83" i="13"/>
  <c r="D298" i="13"/>
  <c r="D160" i="13"/>
  <c r="D311" i="13"/>
  <c r="D212" i="13"/>
  <c r="D216" i="13"/>
  <c r="AE216" i="13" s="1"/>
  <c r="D265" i="13"/>
  <c r="D173" i="13"/>
  <c r="AD173" i="13" s="1"/>
  <c r="D221" i="13"/>
  <c r="D111" i="13"/>
  <c r="D381" i="13"/>
  <c r="D222" i="13"/>
  <c r="AD222" i="13" s="1"/>
  <c r="D260" i="13"/>
  <c r="D97" i="13"/>
  <c r="AE97" i="13" s="1"/>
  <c r="D206" i="13"/>
  <c r="C156" i="13"/>
  <c r="AD156" i="13" s="1"/>
  <c r="C407" i="13"/>
  <c r="AD407" i="13" s="1"/>
  <c r="C429" i="13"/>
  <c r="C111" i="13"/>
  <c r="AC111" i="13" s="1"/>
  <c r="C385" i="13"/>
  <c r="C298" i="13"/>
  <c r="C153" i="13"/>
  <c r="AD153" i="13" s="1"/>
  <c r="C317" i="13"/>
  <c r="C371" i="13"/>
  <c r="C189" i="13"/>
  <c r="AD189" i="13" s="1"/>
  <c r="C318" i="13"/>
  <c r="AC318" i="13" s="1"/>
  <c r="C349" i="13"/>
  <c r="C106" i="13"/>
  <c r="C319" i="13"/>
  <c r="C260" i="13"/>
  <c r="C311" i="13"/>
  <c r="C83" i="13"/>
  <c r="C262" i="13"/>
  <c r="AC262" i="13" s="1"/>
  <c r="C247" i="13"/>
  <c r="C314" i="13"/>
  <c r="AD314" i="13" s="1"/>
  <c r="B83" i="13"/>
  <c r="C115" i="13"/>
  <c r="C103" i="13"/>
  <c r="AD103" i="13" s="1"/>
  <c r="C215" i="13"/>
  <c r="AC215" i="13" s="1"/>
  <c r="C212" i="13"/>
  <c r="C206" i="13"/>
  <c r="C326" i="13"/>
  <c r="AC326" i="13" s="1"/>
  <c r="C389" i="13"/>
  <c r="AD389" i="13" s="1"/>
  <c r="C216" i="13"/>
  <c r="AC216" i="13" s="1"/>
  <c r="B234" i="13"/>
  <c r="AC234" i="13" s="1"/>
  <c r="B282" i="13"/>
  <c r="AC282" i="13" s="1"/>
  <c r="B110" i="13"/>
  <c r="AC110" i="13" s="1"/>
  <c r="B310" i="13"/>
  <c r="AC310" i="13" s="1"/>
  <c r="B245" i="13"/>
  <c r="AC245" i="13" s="1"/>
  <c r="B121" i="13"/>
  <c r="AC121" i="13" s="1"/>
  <c r="B402" i="13"/>
  <c r="AC402" i="13" s="1"/>
  <c r="B317" i="13"/>
  <c r="B189" i="13"/>
  <c r="B349" i="13"/>
  <c r="B247" i="13"/>
  <c r="B311" i="13"/>
  <c r="B319" i="13"/>
  <c r="B389" i="13"/>
  <c r="B298" i="13"/>
  <c r="B212" i="13"/>
  <c r="B65" i="13"/>
  <c r="AC65" i="13" s="1"/>
  <c r="B231" i="13"/>
  <c r="AC231" i="13" s="1"/>
  <c r="B122" i="13"/>
  <c r="AC122" i="13" s="1"/>
  <c r="B356" i="13"/>
  <c r="AC356" i="13" s="1"/>
  <c r="B280" i="13"/>
  <c r="AC280" i="13" s="1"/>
  <c r="B153" i="13"/>
  <c r="B385" i="13"/>
  <c r="B172" i="13"/>
  <c r="AC172" i="13" s="1"/>
  <c r="B353" i="13"/>
  <c r="AC353" i="13" s="1"/>
  <c r="B260" i="13"/>
  <c r="B354" i="13"/>
  <c r="AC354" i="13" s="1"/>
  <c r="B239" i="13"/>
  <c r="AC239" i="13" s="1"/>
  <c r="B325" i="13"/>
  <c r="AC325" i="13" s="1"/>
  <c r="B115" i="13"/>
  <c r="B314" i="13"/>
  <c r="B329" i="13"/>
  <c r="AC329" i="13" s="1"/>
  <c r="B206" i="13"/>
  <c r="B103" i="13"/>
  <c r="AC441" i="13"/>
  <c r="AC440" i="13"/>
  <c r="AC439" i="13"/>
  <c r="AC438" i="13"/>
  <c r="AC86" i="13"/>
  <c r="AC295" i="13"/>
  <c r="AC433" i="13"/>
  <c r="AC127" i="13"/>
  <c r="AC344" i="13"/>
  <c r="AC259" i="13"/>
  <c r="AC412" i="13"/>
  <c r="AC98" i="13"/>
  <c r="AC428" i="13"/>
  <c r="AC202" i="13"/>
  <c r="AC386" i="13"/>
  <c r="AC266" i="13"/>
  <c r="AC243" i="13"/>
  <c r="AC255" i="13"/>
  <c r="AC346" i="13"/>
  <c r="AC80" i="13"/>
  <c r="AC299" i="13"/>
  <c r="AC205" i="13"/>
  <c r="AC376" i="13"/>
  <c r="AC167" i="13"/>
  <c r="AC373" i="13"/>
  <c r="AC160" i="13"/>
  <c r="AC265" i="13"/>
  <c r="AC173" i="13"/>
  <c r="AC221" i="13"/>
  <c r="AC381" i="13"/>
  <c r="AC222" i="13"/>
  <c r="AC97" i="13"/>
  <c r="AC435" i="13"/>
  <c r="AC434" i="13"/>
  <c r="AC432" i="13"/>
  <c r="AC430" i="13"/>
  <c r="AC427" i="13"/>
  <c r="AC426" i="13"/>
  <c r="AC425" i="13"/>
  <c r="AC424" i="13"/>
  <c r="AC423" i="13"/>
  <c r="AC422" i="13"/>
  <c r="AC421" i="13"/>
  <c r="AC420" i="13"/>
  <c r="AC419" i="13"/>
  <c r="AC417" i="13"/>
  <c r="AC416" i="13"/>
  <c r="AC415" i="13"/>
  <c r="AC414" i="13"/>
  <c r="AC413" i="13"/>
  <c r="AC411" i="13"/>
  <c r="AC410" i="13"/>
  <c r="AC409" i="13"/>
  <c r="AC408" i="13"/>
  <c r="AC10" i="13"/>
  <c r="AC54" i="13"/>
  <c r="AC405" i="13"/>
  <c r="AC53" i="13"/>
  <c r="AC403" i="13"/>
  <c r="AC401" i="13"/>
  <c r="AC400" i="13"/>
  <c r="AC399" i="13"/>
  <c r="AC398" i="13"/>
  <c r="AC397" i="13"/>
  <c r="AC396" i="13"/>
  <c r="AC395" i="13"/>
  <c r="AC394" i="13"/>
  <c r="AC392" i="13"/>
  <c r="AC391" i="13"/>
  <c r="AC390" i="13"/>
  <c r="AC388" i="13"/>
  <c r="AC387" i="13"/>
  <c r="AC384" i="13"/>
  <c r="AC383" i="13"/>
  <c r="AC382" i="13"/>
  <c r="AC379" i="13"/>
  <c r="AC378" i="13"/>
  <c r="AC51" i="13"/>
  <c r="AC375" i="13"/>
  <c r="AC374" i="13"/>
  <c r="AC372" i="13"/>
  <c r="AC370" i="13"/>
  <c r="AC368" i="13"/>
  <c r="AC366" i="13"/>
  <c r="AC364" i="13"/>
  <c r="AC50" i="13"/>
  <c r="AC361" i="13"/>
  <c r="AC360" i="13"/>
  <c r="AC358" i="13"/>
  <c r="AC357" i="13"/>
  <c r="AC352" i="13"/>
  <c r="AC350" i="13"/>
  <c r="AC28" i="13"/>
  <c r="AC348" i="13"/>
  <c r="AC347" i="13"/>
  <c r="AC345" i="13"/>
  <c r="AC343" i="13"/>
  <c r="AC342" i="13"/>
  <c r="AC341" i="13"/>
  <c r="AC340" i="13"/>
  <c r="AC339" i="13"/>
  <c r="AC337" i="13"/>
  <c r="AC336" i="13"/>
  <c r="AC335" i="13"/>
  <c r="AC333" i="13"/>
  <c r="AC332" i="13"/>
  <c r="AC331" i="13"/>
  <c r="AC330" i="13"/>
  <c r="AC328" i="13"/>
  <c r="AC327" i="13"/>
  <c r="AC323" i="13"/>
  <c r="AC322" i="13"/>
  <c r="AC30" i="13"/>
  <c r="AC320" i="13"/>
  <c r="AC316" i="13"/>
  <c r="AC315" i="13"/>
  <c r="AC313" i="13"/>
  <c r="AC312" i="13"/>
  <c r="AC309" i="13"/>
  <c r="AC308" i="13"/>
  <c r="AC307" i="13"/>
  <c r="AC306" i="13"/>
  <c r="AC305" i="13"/>
  <c r="AC304" i="13"/>
  <c r="AC303" i="13"/>
  <c r="AC301" i="13"/>
  <c r="AC300" i="13"/>
  <c r="AC297" i="13"/>
  <c r="AC296" i="13"/>
  <c r="AC24" i="13"/>
  <c r="AC294" i="13"/>
  <c r="AC293" i="13"/>
  <c r="AC292" i="13"/>
  <c r="AC291" i="13"/>
  <c r="AC290" i="13"/>
  <c r="AC289" i="13"/>
  <c r="AC36" i="13"/>
  <c r="AC288" i="13"/>
  <c r="AC287" i="13"/>
  <c r="AC286" i="13"/>
  <c r="AC285" i="13"/>
  <c r="AC284" i="13"/>
  <c r="AC283" i="13"/>
  <c r="AC279" i="13"/>
  <c r="AC278" i="13"/>
  <c r="AC276" i="13"/>
  <c r="AC275" i="13"/>
  <c r="AC274" i="13"/>
  <c r="AC273" i="13"/>
  <c r="AC272" i="13"/>
  <c r="AC271" i="13"/>
  <c r="AC270" i="13"/>
  <c r="AC269" i="13"/>
  <c r="AC267" i="13"/>
  <c r="AC264" i="13"/>
  <c r="AC263" i="13"/>
  <c r="AC261" i="13"/>
  <c r="AC258" i="13"/>
  <c r="AC254" i="13"/>
  <c r="AC252" i="13"/>
  <c r="AC251" i="13"/>
  <c r="AC250" i="13"/>
  <c r="AC249" i="13"/>
  <c r="AC248" i="13"/>
  <c r="AC246" i="13"/>
  <c r="AC244" i="13"/>
  <c r="AC241" i="13"/>
  <c r="AC240" i="13"/>
  <c r="AC238" i="13"/>
  <c r="AC236" i="13"/>
  <c r="AC235" i="13"/>
  <c r="AC233" i="13"/>
  <c r="AC232" i="13"/>
  <c r="AC230" i="13"/>
  <c r="AC229" i="13"/>
  <c r="AC228" i="13"/>
  <c r="AC227" i="13"/>
  <c r="AC226" i="13"/>
  <c r="AC225" i="13"/>
  <c r="AC224" i="13"/>
  <c r="AC48" i="13"/>
  <c r="AC219" i="13"/>
  <c r="AC218" i="13"/>
  <c r="AC213" i="13"/>
  <c r="AC211" i="13"/>
  <c r="AC209" i="13"/>
  <c r="AC208" i="13"/>
  <c r="AC204" i="13"/>
  <c r="AC203" i="13"/>
  <c r="AC201" i="13"/>
  <c r="AC200" i="13"/>
  <c r="AC199" i="13"/>
  <c r="AC197" i="13"/>
  <c r="AC196" i="13"/>
  <c r="AC195" i="13"/>
  <c r="AC194" i="13"/>
  <c r="AC193" i="13"/>
  <c r="AC192" i="13"/>
  <c r="AC191" i="13"/>
  <c r="AC190" i="13"/>
  <c r="AC188" i="13"/>
  <c r="AC187" i="13"/>
  <c r="AC186" i="13"/>
  <c r="AC185" i="13"/>
  <c r="AC184" i="13"/>
  <c r="AC182" i="13"/>
  <c r="AC181" i="13"/>
  <c r="AC180" i="13"/>
  <c r="AC179" i="13"/>
  <c r="AC178" i="13"/>
  <c r="AC46" i="13"/>
  <c r="AC177" i="13"/>
  <c r="AC176" i="13"/>
  <c r="AC175" i="13"/>
  <c r="AC174" i="13"/>
  <c r="AC171" i="13"/>
  <c r="AC170" i="13"/>
  <c r="AC169" i="13"/>
  <c r="AC168" i="13"/>
  <c r="AC166" i="13"/>
  <c r="AC165" i="13"/>
  <c r="AC164" i="13"/>
  <c r="AC163" i="13"/>
  <c r="AC162" i="13"/>
  <c r="AC161" i="13"/>
  <c r="AC159" i="13"/>
  <c r="AC158" i="13"/>
  <c r="AC157" i="13"/>
  <c r="AC155" i="13"/>
  <c r="AC154" i="13"/>
  <c r="AC152" i="13"/>
  <c r="AC151" i="13"/>
  <c r="AC150" i="13"/>
  <c r="AC149" i="13"/>
  <c r="AC148" i="13"/>
  <c r="AC147" i="13"/>
  <c r="AC146" i="13"/>
  <c r="AC144" i="13"/>
  <c r="AC141" i="13"/>
  <c r="AC140" i="13"/>
  <c r="AC136" i="13"/>
  <c r="AC135" i="13"/>
  <c r="AC134" i="13"/>
  <c r="AC132" i="13"/>
  <c r="AC131" i="13"/>
  <c r="AC130" i="13"/>
  <c r="AC129" i="13"/>
  <c r="AC128" i="13"/>
  <c r="AC125" i="13"/>
  <c r="AC123" i="13"/>
  <c r="AC120" i="13"/>
  <c r="AC119" i="13"/>
  <c r="AC118" i="13"/>
  <c r="AC113" i="13"/>
  <c r="AC16" i="13"/>
  <c r="AC15" i="13"/>
  <c r="AC107" i="13"/>
  <c r="AC105" i="13"/>
  <c r="AC104" i="13"/>
  <c r="AC102" i="13"/>
  <c r="AC101" i="13"/>
  <c r="AC100" i="13"/>
  <c r="AC99" i="13"/>
  <c r="AC96" i="13"/>
  <c r="AC94" i="13"/>
  <c r="AC92" i="13"/>
  <c r="AC91" i="13"/>
  <c r="AC90" i="13"/>
  <c r="AC89" i="13"/>
  <c r="AC88" i="13"/>
  <c r="AC87" i="13"/>
  <c r="AC84" i="13"/>
  <c r="AC81" i="13"/>
  <c r="AC79" i="13"/>
  <c r="AC78" i="13"/>
  <c r="AC75" i="13"/>
  <c r="AC74" i="13"/>
  <c r="AC73" i="13"/>
  <c r="AC72" i="13"/>
  <c r="AC71" i="13"/>
  <c r="AC70" i="13"/>
  <c r="AC69" i="13"/>
  <c r="AC68" i="13"/>
  <c r="AC67" i="13"/>
  <c r="AC66" i="13"/>
  <c r="AC64" i="13"/>
  <c r="AC63" i="13"/>
  <c r="AC62" i="13"/>
  <c r="AC61" i="13"/>
  <c r="AD441" i="13"/>
  <c r="AD440" i="13"/>
  <c r="AD439" i="13"/>
  <c r="AD438" i="13"/>
  <c r="AD86" i="13"/>
  <c r="AD295" i="13"/>
  <c r="AD433" i="13"/>
  <c r="AD127" i="13"/>
  <c r="AD344" i="13"/>
  <c r="AD259" i="13"/>
  <c r="AD412" i="13"/>
  <c r="AD98" i="13"/>
  <c r="AD428" i="13"/>
  <c r="AD234" i="13"/>
  <c r="AD282" i="13"/>
  <c r="AD110" i="13"/>
  <c r="AD310" i="13"/>
  <c r="AD245" i="13"/>
  <c r="AD121" i="13"/>
  <c r="AD402" i="13"/>
  <c r="AD65" i="13"/>
  <c r="AD231" i="13"/>
  <c r="AD122" i="13"/>
  <c r="AD356" i="13"/>
  <c r="AD280" i="13"/>
  <c r="AD172" i="13"/>
  <c r="AD353" i="13"/>
  <c r="AD354" i="13"/>
  <c r="AD239" i="13"/>
  <c r="AD325" i="13"/>
  <c r="AD329" i="13"/>
  <c r="AD435" i="13"/>
  <c r="AD434" i="13"/>
  <c r="AD432" i="13"/>
  <c r="AD430" i="13"/>
  <c r="AD427" i="13"/>
  <c r="AD426" i="13"/>
  <c r="AD425" i="13"/>
  <c r="AD424" i="13"/>
  <c r="AD423" i="13"/>
  <c r="AD422" i="13"/>
  <c r="AD421" i="13"/>
  <c r="AD420" i="13"/>
  <c r="AD419" i="13"/>
  <c r="AD417" i="13"/>
  <c r="AD416" i="13"/>
  <c r="AD415" i="13"/>
  <c r="AD414" i="13"/>
  <c r="AD413" i="13"/>
  <c r="AD411" i="13"/>
  <c r="AD410" i="13"/>
  <c r="AD409" i="13"/>
  <c r="AD408" i="13"/>
  <c r="AD10" i="13"/>
  <c r="AD54" i="13"/>
  <c r="AD405" i="13"/>
  <c r="AD53" i="13"/>
  <c r="AD403" i="13"/>
  <c r="AD401" i="13"/>
  <c r="AD400" i="13"/>
  <c r="AD399" i="13"/>
  <c r="AD398" i="13"/>
  <c r="AD397" i="13"/>
  <c r="AD396" i="13"/>
  <c r="AD395" i="13"/>
  <c r="AD394" i="13"/>
  <c r="AD392" i="13"/>
  <c r="AD391" i="13"/>
  <c r="AD390" i="13"/>
  <c r="AD388" i="13"/>
  <c r="AD387" i="13"/>
  <c r="AD384" i="13"/>
  <c r="AD383" i="13"/>
  <c r="AD382" i="13"/>
  <c r="AD380" i="13"/>
  <c r="AD379" i="13"/>
  <c r="AD378" i="13"/>
  <c r="AD51" i="13"/>
  <c r="AD375" i="13"/>
  <c r="AD374" i="13"/>
  <c r="AD372" i="13"/>
  <c r="AD370" i="13"/>
  <c r="AD368" i="13"/>
  <c r="AD366" i="13"/>
  <c r="AD364" i="13"/>
  <c r="AD50" i="13"/>
  <c r="AD361" i="13"/>
  <c r="AD360" i="13"/>
  <c r="AD358" i="13"/>
  <c r="AD357" i="13"/>
  <c r="AD352" i="13"/>
  <c r="AD350" i="13"/>
  <c r="AD28" i="13"/>
  <c r="AD348" i="13"/>
  <c r="AD347" i="13"/>
  <c r="AD345" i="13"/>
  <c r="AD343" i="13"/>
  <c r="AD341" i="13"/>
  <c r="AD340" i="13"/>
  <c r="AD339" i="13"/>
  <c r="AD337" i="13"/>
  <c r="AD336" i="13"/>
  <c r="AD335" i="13"/>
  <c r="AD333" i="13"/>
  <c r="AD332" i="13"/>
  <c r="AD331" i="13"/>
  <c r="AD330" i="13"/>
  <c r="AD328" i="13"/>
  <c r="AD327" i="13"/>
  <c r="AD323" i="13"/>
  <c r="AD322" i="13"/>
  <c r="AD30" i="13"/>
  <c r="AD320" i="13"/>
  <c r="AD316" i="13"/>
  <c r="AD315" i="13"/>
  <c r="AD313" i="13"/>
  <c r="AD312" i="13"/>
  <c r="AD309" i="13"/>
  <c r="AD308" i="13"/>
  <c r="AD307" i="13"/>
  <c r="AD306" i="13"/>
  <c r="AD305" i="13"/>
  <c r="AD304" i="13"/>
  <c r="AD303" i="13"/>
  <c r="AD301" i="13"/>
  <c r="AD300" i="13"/>
  <c r="AD297" i="13"/>
  <c r="AD296" i="13"/>
  <c r="AD24" i="13"/>
  <c r="AD294" i="13"/>
  <c r="AD293" i="13"/>
  <c r="AD292" i="13"/>
  <c r="AD291" i="13"/>
  <c r="AD290" i="13"/>
  <c r="AD289" i="13"/>
  <c r="AD36" i="13"/>
  <c r="AD288" i="13"/>
  <c r="AD287" i="13"/>
  <c r="AD286" i="13"/>
  <c r="AD285" i="13"/>
  <c r="AD284" i="13"/>
  <c r="AD283" i="13"/>
  <c r="AD279" i="13"/>
  <c r="AD278" i="13"/>
  <c r="AD276" i="13"/>
  <c r="AD275" i="13"/>
  <c r="AD274" i="13"/>
  <c r="AD273" i="13"/>
  <c r="AD272" i="13"/>
  <c r="AD271" i="13"/>
  <c r="AD270" i="13"/>
  <c r="AD269" i="13"/>
  <c r="AD267" i="13"/>
  <c r="AD264" i="13"/>
  <c r="AD263" i="13"/>
  <c r="AD261" i="13"/>
  <c r="AD258" i="13"/>
  <c r="AD254" i="13"/>
  <c r="AD252" i="13"/>
  <c r="AD251" i="13"/>
  <c r="AD250" i="13"/>
  <c r="AD249" i="13"/>
  <c r="AD248" i="13"/>
  <c r="AD246" i="13"/>
  <c r="AD244" i="13"/>
  <c r="AD241" i="13"/>
  <c r="AD240" i="13"/>
  <c r="AD238" i="13"/>
  <c r="AD236" i="13"/>
  <c r="AD235" i="13"/>
  <c r="AD233" i="13"/>
  <c r="AD232" i="13"/>
  <c r="AD230" i="13"/>
  <c r="AD229" i="13"/>
  <c r="AD228" i="13"/>
  <c r="AD227" i="13"/>
  <c r="AD226" i="13"/>
  <c r="AD225" i="13"/>
  <c r="AD224" i="13"/>
  <c r="AD48" i="13"/>
  <c r="AD219" i="13"/>
  <c r="AD218" i="13"/>
  <c r="AD211" i="13"/>
  <c r="AD209" i="13"/>
  <c r="AD208" i="13"/>
  <c r="AD204" i="13"/>
  <c r="AD203" i="13"/>
  <c r="AD201" i="13"/>
  <c r="AD200" i="13"/>
  <c r="AD199" i="13"/>
  <c r="AD197" i="13"/>
  <c r="AD196" i="13"/>
  <c r="AD195" i="13"/>
  <c r="AD194" i="13"/>
  <c r="AD193" i="13"/>
  <c r="AD192" i="13"/>
  <c r="AD191" i="13"/>
  <c r="AD190" i="13"/>
  <c r="AD188" i="13"/>
  <c r="AD187" i="13"/>
  <c r="AD186" i="13"/>
  <c r="AD185" i="13"/>
  <c r="AD184" i="13"/>
  <c r="AD182" i="13"/>
  <c r="AD181" i="13"/>
  <c r="AD180" i="13"/>
  <c r="AD179" i="13"/>
  <c r="AD178" i="13"/>
  <c r="AD46" i="13"/>
  <c r="AD177" i="13"/>
  <c r="AD176" i="13"/>
  <c r="AD175" i="13"/>
  <c r="AD174" i="13"/>
  <c r="AD171" i="13"/>
  <c r="AD170" i="13"/>
  <c r="AD169" i="13"/>
  <c r="AD168" i="13"/>
  <c r="AD166" i="13"/>
  <c r="AD165" i="13"/>
  <c r="AD164" i="13"/>
  <c r="AD163" i="13"/>
  <c r="AD162" i="13"/>
  <c r="AD161" i="13"/>
  <c r="AD159" i="13"/>
  <c r="AD158" i="13"/>
  <c r="AD157" i="13"/>
  <c r="AD155" i="13"/>
  <c r="AD154" i="13"/>
  <c r="AD152" i="13"/>
  <c r="AD151" i="13"/>
  <c r="AD150" i="13"/>
  <c r="AD149" i="13"/>
  <c r="AD148" i="13"/>
  <c r="AD147" i="13"/>
  <c r="AD146" i="13"/>
  <c r="AD144" i="13"/>
  <c r="AD141" i="13"/>
  <c r="AD140" i="13"/>
  <c r="AD136" i="13"/>
  <c r="AD135" i="13"/>
  <c r="AD134" i="13"/>
  <c r="AD132" i="13"/>
  <c r="AD131" i="13"/>
  <c r="AD130" i="13"/>
  <c r="AD129" i="13"/>
  <c r="AD128" i="13"/>
  <c r="AD125" i="13"/>
  <c r="AD123" i="13"/>
  <c r="AD120" i="13"/>
  <c r="AD119" i="13"/>
  <c r="AD118" i="13"/>
  <c r="AD113" i="13"/>
  <c r="AD16" i="13"/>
  <c r="AD15" i="13"/>
  <c r="AD107" i="13"/>
  <c r="AD105" i="13"/>
  <c r="AD104" i="13"/>
  <c r="AD102" i="13"/>
  <c r="AD101" i="13"/>
  <c r="AD100" i="13"/>
  <c r="AD99" i="13"/>
  <c r="AD96" i="13"/>
  <c r="AD94" i="13"/>
  <c r="AD92" i="13"/>
  <c r="AD91" i="13"/>
  <c r="AD90" i="13"/>
  <c r="AD89" i="13"/>
  <c r="AD88" i="13"/>
  <c r="AD87" i="13"/>
  <c r="AD84" i="13"/>
  <c r="AD81" i="13"/>
  <c r="AD79" i="13"/>
  <c r="AD78" i="13"/>
  <c r="AD75" i="13"/>
  <c r="AD74" i="13"/>
  <c r="AD73" i="13"/>
  <c r="AD72" i="13"/>
  <c r="AD71" i="13"/>
  <c r="AD69" i="13"/>
  <c r="AD68" i="13"/>
  <c r="AD67" i="13"/>
  <c r="AD66" i="13"/>
  <c r="AD64" i="13"/>
  <c r="AD63" i="13"/>
  <c r="AD62" i="13"/>
  <c r="AD61" i="13"/>
  <c r="AE441" i="13"/>
  <c r="AE440" i="13"/>
  <c r="AE439" i="13"/>
  <c r="AE438" i="13"/>
  <c r="AE156" i="13"/>
  <c r="AE407" i="13"/>
  <c r="AE326" i="13"/>
  <c r="AE234" i="13"/>
  <c r="AE282" i="13"/>
  <c r="AE110" i="13"/>
  <c r="AE310" i="13"/>
  <c r="AE245" i="13"/>
  <c r="AE121" i="13"/>
  <c r="AE402" i="13"/>
  <c r="AE189" i="13"/>
  <c r="AE247" i="13"/>
  <c r="AE319" i="13"/>
  <c r="AE389" i="13"/>
  <c r="AE65" i="13"/>
  <c r="AE231" i="13"/>
  <c r="AE122" i="13"/>
  <c r="AE356" i="13"/>
  <c r="AE280" i="13"/>
  <c r="AE385" i="13"/>
  <c r="AE172" i="13"/>
  <c r="AE353" i="13"/>
  <c r="AE354" i="13"/>
  <c r="AE239" i="13"/>
  <c r="AE325" i="13"/>
  <c r="AE314" i="13"/>
  <c r="AE329" i="13"/>
  <c r="AE435" i="13"/>
  <c r="AE434" i="13"/>
  <c r="AE432" i="13"/>
  <c r="AE430" i="13"/>
  <c r="AE427" i="13"/>
  <c r="AE426" i="13"/>
  <c r="AE425" i="13"/>
  <c r="AE424" i="13"/>
  <c r="AE423" i="13"/>
  <c r="AE422" i="13"/>
  <c r="AE421" i="13"/>
  <c r="AE420" i="13"/>
  <c r="AE419" i="13"/>
  <c r="AE417" i="13"/>
  <c r="AE416" i="13"/>
  <c r="AE415" i="13"/>
  <c r="AE414" i="13"/>
  <c r="AE413" i="13"/>
  <c r="AE411" i="13"/>
  <c r="AE410" i="13"/>
  <c r="AE409" i="13"/>
  <c r="AE408" i="13"/>
  <c r="AE10" i="13"/>
  <c r="AE54" i="13"/>
  <c r="AE405" i="13"/>
  <c r="AE53" i="13"/>
  <c r="AE403" i="13"/>
  <c r="AE401" i="13"/>
  <c r="AE400" i="13"/>
  <c r="AE399" i="13"/>
  <c r="AE398" i="13"/>
  <c r="AE397" i="13"/>
  <c r="AE396" i="13"/>
  <c r="AE395" i="13"/>
  <c r="AE394" i="13"/>
  <c r="AE392" i="13"/>
  <c r="AE391" i="13"/>
  <c r="AE390" i="13"/>
  <c r="AE388" i="13"/>
  <c r="AE387" i="13"/>
  <c r="AE384" i="13"/>
  <c r="AE383" i="13"/>
  <c r="AE382" i="13"/>
  <c r="AE380" i="13"/>
  <c r="AE379" i="13"/>
  <c r="AE378" i="13"/>
  <c r="AE51" i="13"/>
  <c r="AE375" i="13"/>
  <c r="AE374" i="13"/>
  <c r="AE372" i="13"/>
  <c r="AE370" i="13"/>
  <c r="AE368" i="13"/>
  <c r="AE366" i="13"/>
  <c r="AE364" i="13"/>
  <c r="AE50" i="13"/>
  <c r="AE360" i="13"/>
  <c r="AE358" i="13"/>
  <c r="AE357" i="13"/>
  <c r="AE352" i="13"/>
  <c r="AE350" i="13"/>
  <c r="AE28" i="13"/>
  <c r="AE348" i="13"/>
  <c r="AE347" i="13"/>
  <c r="AE345" i="13"/>
  <c r="AE343" i="13"/>
  <c r="AE341" i="13"/>
  <c r="AE340" i="13"/>
  <c r="AE339" i="13"/>
  <c r="AE337" i="13"/>
  <c r="AE336" i="13"/>
  <c r="AE335" i="13"/>
  <c r="AE333" i="13"/>
  <c r="AE332" i="13"/>
  <c r="AE331" i="13"/>
  <c r="AE330" i="13"/>
  <c r="AE328" i="13"/>
  <c r="AE327" i="13"/>
  <c r="AE323" i="13"/>
  <c r="AE322" i="13"/>
  <c r="AE30" i="13"/>
  <c r="AE320" i="13"/>
  <c r="AE316" i="13"/>
  <c r="AE315" i="13"/>
  <c r="AE313" i="13"/>
  <c r="AE312" i="13"/>
  <c r="AE309" i="13"/>
  <c r="AE308" i="13"/>
  <c r="AE307" i="13"/>
  <c r="AE306" i="13"/>
  <c r="AE305" i="13"/>
  <c r="AE304" i="13"/>
  <c r="AE303" i="13"/>
  <c r="AE301" i="13"/>
  <c r="AE300" i="13"/>
  <c r="AE297" i="13"/>
  <c r="AE296" i="13"/>
  <c r="AE24" i="13"/>
  <c r="AE294" i="13"/>
  <c r="AE293" i="13"/>
  <c r="AE292" i="13"/>
  <c r="AE291" i="13"/>
  <c r="AE290" i="13"/>
  <c r="AE289" i="13"/>
  <c r="AE36" i="13"/>
  <c r="AE288" i="13"/>
  <c r="AE287" i="13"/>
  <c r="AE286" i="13"/>
  <c r="AE285" i="13"/>
  <c r="AE284" i="13"/>
  <c r="AE283" i="13"/>
  <c r="AE279" i="13"/>
  <c r="AE278" i="13"/>
  <c r="AE276" i="13"/>
  <c r="AE275" i="13"/>
  <c r="AE274" i="13"/>
  <c r="AE273" i="13"/>
  <c r="AE272" i="13"/>
  <c r="AE271" i="13"/>
  <c r="AE270" i="13"/>
  <c r="AE269" i="13"/>
  <c r="AE267" i="13"/>
  <c r="AE264" i="13"/>
  <c r="AE263" i="13"/>
  <c r="AE261" i="13"/>
  <c r="AE258" i="13"/>
  <c r="AE254" i="13"/>
  <c r="AE252" i="13"/>
  <c r="AE251" i="13"/>
  <c r="AE250" i="13"/>
  <c r="AE249" i="13"/>
  <c r="AE248" i="13"/>
  <c r="AE246" i="13"/>
  <c r="AE244" i="13"/>
  <c r="AE241" i="13"/>
  <c r="AE240" i="13"/>
  <c r="AE238" i="13"/>
  <c r="AE236" i="13"/>
  <c r="AE235" i="13"/>
  <c r="AE233" i="13"/>
  <c r="AE232" i="13"/>
  <c r="AE230" i="13"/>
  <c r="AE229" i="13"/>
  <c r="AE228" i="13"/>
  <c r="AE227" i="13"/>
  <c r="AE226" i="13"/>
  <c r="AE225" i="13"/>
  <c r="AE224" i="13"/>
  <c r="AE48" i="13"/>
  <c r="AE219" i="13"/>
  <c r="AE218" i="13"/>
  <c r="AE215" i="13"/>
  <c r="AE211" i="13"/>
  <c r="AE209" i="13"/>
  <c r="AE208" i="13"/>
  <c r="AE204" i="13"/>
  <c r="AE203" i="13"/>
  <c r="AE201" i="13"/>
  <c r="AE200" i="13"/>
  <c r="AE199" i="13"/>
  <c r="AE197" i="13"/>
  <c r="AE196" i="13"/>
  <c r="AE195" i="13"/>
  <c r="AE194" i="13"/>
  <c r="AE193" i="13"/>
  <c r="AE192" i="13"/>
  <c r="AE191" i="13"/>
  <c r="AE190" i="13"/>
  <c r="AE188" i="13"/>
  <c r="AE187" i="13"/>
  <c r="AE186" i="13"/>
  <c r="AE185" i="13"/>
  <c r="AE184" i="13"/>
  <c r="AE182" i="13"/>
  <c r="AE181" i="13"/>
  <c r="AE180" i="13"/>
  <c r="AE179" i="13"/>
  <c r="AE178" i="13"/>
  <c r="AE46" i="13"/>
  <c r="AE177" i="13"/>
  <c r="AE176" i="13"/>
  <c r="AE175" i="13"/>
  <c r="AE174" i="13"/>
  <c r="AE171" i="13"/>
  <c r="AE170" i="13"/>
  <c r="AE169" i="13"/>
  <c r="AE168" i="13"/>
  <c r="AE166" i="13"/>
  <c r="AE165" i="13"/>
  <c r="AE164" i="13"/>
  <c r="AE163" i="13"/>
  <c r="AE162" i="13"/>
  <c r="AE161" i="13"/>
  <c r="AE159" i="13"/>
  <c r="AE158" i="13"/>
  <c r="AE157" i="13"/>
  <c r="AE155" i="13"/>
  <c r="AE154" i="13"/>
  <c r="AE152" i="13"/>
  <c r="AE151" i="13"/>
  <c r="AE150" i="13"/>
  <c r="AE149" i="13"/>
  <c r="AE148" i="13"/>
  <c r="AE147" i="13"/>
  <c r="AE146" i="13"/>
  <c r="AE144" i="13"/>
  <c r="AE141" i="13"/>
  <c r="AE140" i="13"/>
  <c r="AE136" i="13"/>
  <c r="AE135" i="13"/>
  <c r="AE134" i="13"/>
  <c r="AE132" i="13"/>
  <c r="AE131" i="13"/>
  <c r="AE130" i="13"/>
  <c r="AE129" i="13"/>
  <c r="AE128" i="13"/>
  <c r="AE125" i="13"/>
  <c r="AE123" i="13"/>
  <c r="AE120" i="13"/>
  <c r="AE119" i="13"/>
  <c r="AE118" i="13"/>
  <c r="AE113" i="13"/>
  <c r="AE16" i="13"/>
  <c r="AE15" i="13"/>
  <c r="AE107" i="13"/>
  <c r="AE105" i="13"/>
  <c r="AE104" i="13"/>
  <c r="AE103" i="13"/>
  <c r="AE102" i="13"/>
  <c r="AE101" i="13"/>
  <c r="AE100" i="13"/>
  <c r="AE99" i="13"/>
  <c r="AE96" i="13"/>
  <c r="AE94" i="13"/>
  <c r="AE92" i="13"/>
  <c r="AE91" i="13"/>
  <c r="AE90" i="13"/>
  <c r="AE89" i="13"/>
  <c r="AE88" i="13"/>
  <c r="AE87" i="13"/>
  <c r="AE84" i="13"/>
  <c r="AE81" i="13"/>
  <c r="AE79" i="13"/>
  <c r="AE78" i="13"/>
  <c r="AE75" i="13"/>
  <c r="AE74" i="13"/>
  <c r="AE73" i="13"/>
  <c r="AE72" i="13"/>
  <c r="AE71" i="13"/>
  <c r="AE69" i="13"/>
  <c r="AE68" i="13"/>
  <c r="AE67" i="13"/>
  <c r="AE66" i="13"/>
  <c r="AE64" i="13"/>
  <c r="AE63" i="13"/>
  <c r="AE62" i="13"/>
  <c r="AE61" i="13"/>
  <c r="AF441" i="13"/>
  <c r="AF440" i="13"/>
  <c r="AF439" i="13"/>
  <c r="AF438" i="13"/>
  <c r="AF202" i="13"/>
  <c r="AF386" i="13"/>
  <c r="AF255" i="13"/>
  <c r="AF80" i="13"/>
  <c r="AF299" i="13"/>
  <c r="AF205" i="13"/>
  <c r="AF373" i="13"/>
  <c r="AF265" i="13"/>
  <c r="AF173" i="13"/>
  <c r="AF221" i="13"/>
  <c r="AF381" i="13"/>
  <c r="AF97" i="13"/>
  <c r="AF156" i="13"/>
  <c r="AF407" i="13"/>
  <c r="AF429" i="13"/>
  <c r="AF111" i="13"/>
  <c r="AF371" i="13"/>
  <c r="AF262" i="13"/>
  <c r="AF326" i="13"/>
  <c r="AF216" i="13"/>
  <c r="AF234" i="13"/>
  <c r="AF282" i="13"/>
  <c r="AF110" i="13"/>
  <c r="AF310" i="13"/>
  <c r="AF245" i="13"/>
  <c r="AF121" i="13"/>
  <c r="AF402" i="13"/>
  <c r="AF317" i="13"/>
  <c r="AF189" i="13"/>
  <c r="AF349" i="13"/>
  <c r="AF247" i="13"/>
  <c r="AF319" i="13"/>
  <c r="AF389" i="13"/>
  <c r="AF65" i="13"/>
  <c r="AF231" i="13"/>
  <c r="AF122" i="13"/>
  <c r="AF356" i="13"/>
  <c r="AF280" i="13"/>
  <c r="AF385" i="13"/>
  <c r="AF172" i="13"/>
  <c r="AF353" i="13"/>
  <c r="AF354" i="13"/>
  <c r="AF239" i="13"/>
  <c r="AF325" i="13"/>
  <c r="AF314" i="13"/>
  <c r="AF329" i="13"/>
  <c r="AF206" i="13"/>
  <c r="AF435" i="13"/>
  <c r="AF434" i="13"/>
  <c r="AF432" i="13"/>
  <c r="AF430" i="13"/>
  <c r="AF427" i="13"/>
  <c r="AF426" i="13"/>
  <c r="AF425" i="13"/>
  <c r="AF424" i="13"/>
  <c r="AF423" i="13"/>
  <c r="AF422" i="13"/>
  <c r="AF421" i="13"/>
  <c r="AF420" i="13"/>
  <c r="AF419" i="13"/>
  <c r="AF417" i="13"/>
  <c r="AF416" i="13"/>
  <c r="AF415" i="13"/>
  <c r="AF414" i="13"/>
  <c r="AF413" i="13"/>
  <c r="AF411" i="13"/>
  <c r="AF410" i="13"/>
  <c r="AF409" i="13"/>
  <c r="AF408" i="13"/>
  <c r="AF10" i="13"/>
  <c r="AF405" i="13"/>
  <c r="AF53" i="13"/>
  <c r="AF403" i="13"/>
  <c r="AF401" i="13"/>
  <c r="AF400" i="13"/>
  <c r="AF399" i="13"/>
  <c r="AF398" i="13"/>
  <c r="AF397" i="13"/>
  <c r="AF396" i="13"/>
  <c r="AF395" i="13"/>
  <c r="AF394" i="13"/>
  <c r="AF392" i="13"/>
  <c r="AF391" i="13"/>
  <c r="AF390" i="13"/>
  <c r="AF388" i="13"/>
  <c r="AF387" i="13"/>
  <c r="AF384" i="13"/>
  <c r="AF383" i="13"/>
  <c r="AF382" i="13"/>
  <c r="AF380" i="13"/>
  <c r="AF379" i="13"/>
  <c r="AF378" i="13"/>
  <c r="AF51" i="13"/>
  <c r="AF375" i="13"/>
  <c r="AF374" i="13"/>
  <c r="AF372" i="13"/>
  <c r="AF370" i="13"/>
  <c r="AF368" i="13"/>
  <c r="AF366" i="13"/>
  <c r="AF364" i="13"/>
  <c r="AF50" i="13"/>
  <c r="AF360" i="13"/>
  <c r="AF358" i="13"/>
  <c r="AF357" i="13"/>
  <c r="AF352" i="13"/>
  <c r="AF350" i="13"/>
  <c r="AF28" i="13"/>
  <c r="AF348" i="13"/>
  <c r="AF347" i="13"/>
  <c r="AF345" i="13"/>
  <c r="AF343" i="13"/>
  <c r="AF342" i="13"/>
  <c r="AF341" i="13"/>
  <c r="AF340" i="13"/>
  <c r="AF339" i="13"/>
  <c r="AF337" i="13"/>
  <c r="AF336" i="13"/>
  <c r="AF335" i="13"/>
  <c r="AF333" i="13"/>
  <c r="AF332" i="13"/>
  <c r="AF331" i="13"/>
  <c r="AF330" i="13"/>
  <c r="AF328" i="13"/>
  <c r="AF327" i="13"/>
  <c r="AF323" i="13"/>
  <c r="AF322" i="13"/>
  <c r="AF30" i="13"/>
  <c r="AF320" i="13"/>
  <c r="AF316" i="13"/>
  <c r="AF315" i="13"/>
  <c r="AF313" i="13"/>
  <c r="AF312" i="13"/>
  <c r="AF309" i="13"/>
  <c r="AF308" i="13"/>
  <c r="AF307" i="13"/>
  <c r="AF306" i="13"/>
  <c r="AF305" i="13"/>
  <c r="AF304" i="13"/>
  <c r="AF303" i="13"/>
  <c r="AF301" i="13"/>
  <c r="AF300" i="13"/>
  <c r="AF297" i="13"/>
  <c r="AF296" i="13"/>
  <c r="AF24" i="13"/>
  <c r="AF294" i="13"/>
  <c r="AF293" i="13"/>
  <c r="AF292" i="13"/>
  <c r="AF291" i="13"/>
  <c r="AF290" i="13"/>
  <c r="AF289" i="13"/>
  <c r="AF36" i="13"/>
  <c r="AF288" i="13"/>
  <c r="AF287" i="13"/>
  <c r="AF286" i="13"/>
  <c r="AF285" i="13"/>
  <c r="AF284" i="13"/>
  <c r="AF283" i="13"/>
  <c r="AF279" i="13"/>
  <c r="AF278" i="13"/>
  <c r="AF276" i="13"/>
  <c r="AF275" i="13"/>
  <c r="AF274" i="13"/>
  <c r="AF273" i="13"/>
  <c r="AF272" i="13"/>
  <c r="AF271" i="13"/>
  <c r="AF270" i="13"/>
  <c r="AF269" i="13"/>
  <c r="AF267" i="13"/>
  <c r="AF264" i="13"/>
  <c r="AF263" i="13"/>
  <c r="AF261" i="13"/>
  <c r="AF258" i="13"/>
  <c r="AF254" i="13"/>
  <c r="AF252" i="13"/>
  <c r="AF251" i="13"/>
  <c r="AF250" i="13"/>
  <c r="AF249" i="13"/>
  <c r="AF248" i="13"/>
  <c r="AF246" i="13"/>
  <c r="AF244" i="13"/>
  <c r="AF241" i="13"/>
  <c r="AF240" i="13"/>
  <c r="AF238" i="13"/>
  <c r="AF236" i="13"/>
  <c r="AF235" i="13"/>
  <c r="AF233" i="13"/>
  <c r="AF232" i="13"/>
  <c r="AF230" i="13"/>
  <c r="AF229" i="13"/>
  <c r="AF228" i="13"/>
  <c r="AF227" i="13"/>
  <c r="AF226" i="13"/>
  <c r="AF225" i="13"/>
  <c r="AF224" i="13"/>
  <c r="AF48" i="13"/>
  <c r="AF219" i="13"/>
  <c r="AF218" i="13"/>
  <c r="AF215" i="13"/>
  <c r="AF211" i="13"/>
  <c r="AF209" i="13"/>
  <c r="AF208" i="13"/>
  <c r="AF204" i="13"/>
  <c r="AF203" i="13"/>
  <c r="AF201" i="13"/>
  <c r="AF200" i="13"/>
  <c r="AF199" i="13"/>
  <c r="AF197" i="13"/>
  <c r="AF196" i="13"/>
  <c r="AF195" i="13"/>
  <c r="AF194" i="13"/>
  <c r="AF193" i="13"/>
  <c r="AF192" i="13"/>
  <c r="AF191" i="13"/>
  <c r="AF190" i="13"/>
  <c r="AF188" i="13"/>
  <c r="AF187" i="13"/>
  <c r="AF186" i="13"/>
  <c r="AF185" i="13"/>
  <c r="AF184" i="13"/>
  <c r="AF182" i="13"/>
  <c r="AF181" i="13"/>
  <c r="AF180" i="13"/>
  <c r="AF179" i="13"/>
  <c r="AF178" i="13"/>
  <c r="AF46" i="13"/>
  <c r="AF177" i="13"/>
  <c r="AF176" i="13"/>
  <c r="AF175" i="13"/>
  <c r="AF174" i="13"/>
  <c r="AF171" i="13"/>
  <c r="AF170" i="13"/>
  <c r="AF169" i="13"/>
  <c r="AF168" i="13"/>
  <c r="AF166" i="13"/>
  <c r="AF165" i="13"/>
  <c r="AF164" i="13"/>
  <c r="AF163" i="13"/>
  <c r="AF162" i="13"/>
  <c r="AF161" i="13"/>
  <c r="AF159" i="13"/>
  <c r="AF158" i="13"/>
  <c r="AF157" i="13"/>
  <c r="AF155" i="13"/>
  <c r="AF154" i="13"/>
  <c r="AF152" i="13"/>
  <c r="AF151" i="13"/>
  <c r="AF150" i="13"/>
  <c r="AF149" i="13"/>
  <c r="AF148" i="13"/>
  <c r="AF147" i="13"/>
  <c r="AF146" i="13"/>
  <c r="AF144" i="13"/>
  <c r="AF141" i="13"/>
  <c r="AF140" i="13"/>
  <c r="AF136" i="13"/>
  <c r="AF135" i="13"/>
  <c r="AF134" i="13"/>
  <c r="AF132" i="13"/>
  <c r="AF131" i="13"/>
  <c r="AF130" i="13"/>
  <c r="AF129" i="13"/>
  <c r="AF128" i="13"/>
  <c r="AF125" i="13"/>
  <c r="AF123" i="13"/>
  <c r="AF120" i="13"/>
  <c r="AF119" i="13"/>
  <c r="AF118" i="13"/>
  <c r="AF113" i="13"/>
  <c r="AF16" i="13"/>
  <c r="AF15" i="13"/>
  <c r="AF107" i="13"/>
  <c r="AF105" i="13"/>
  <c r="AF104" i="13"/>
  <c r="AF103" i="13"/>
  <c r="AF102" i="13"/>
  <c r="AF101" i="13"/>
  <c r="AF100" i="13"/>
  <c r="AF99" i="13"/>
  <c r="AF96" i="13"/>
  <c r="AF94" i="13"/>
  <c r="AF92" i="13"/>
  <c r="AF91" i="13"/>
  <c r="AF90" i="13"/>
  <c r="AF89" i="13"/>
  <c r="AF88" i="13"/>
  <c r="AF87" i="13"/>
  <c r="AF84" i="13"/>
  <c r="AF81" i="13"/>
  <c r="AF79" i="13"/>
  <c r="AF78" i="13"/>
  <c r="AF75" i="13"/>
  <c r="AF74" i="13"/>
  <c r="AF73" i="13"/>
  <c r="AF72" i="13"/>
  <c r="AF71" i="13"/>
  <c r="AF70" i="13"/>
  <c r="AF69" i="13"/>
  <c r="AF68" i="13"/>
  <c r="AF67" i="13"/>
  <c r="AF66" i="13"/>
  <c r="AF64" i="13"/>
  <c r="AF63" i="13"/>
  <c r="AF62" i="13"/>
  <c r="AF61" i="13"/>
  <c r="AG441" i="13"/>
  <c r="AG440" i="13"/>
  <c r="AG439" i="13"/>
  <c r="AG438" i="13"/>
  <c r="AG86" i="13"/>
  <c r="AG295" i="13"/>
  <c r="AG127" i="13"/>
  <c r="AG344" i="13"/>
  <c r="AG259" i="13"/>
  <c r="AG412" i="13"/>
  <c r="AG98" i="13"/>
  <c r="AG202" i="13"/>
  <c r="AG386" i="13"/>
  <c r="AG266" i="13"/>
  <c r="AG243" i="13"/>
  <c r="AG255" i="13"/>
  <c r="AG346" i="13"/>
  <c r="AG80" i="13"/>
  <c r="AG299" i="13"/>
  <c r="AG205" i="13"/>
  <c r="AG167" i="13"/>
  <c r="AG373" i="13"/>
  <c r="AG173" i="13"/>
  <c r="AG221" i="13"/>
  <c r="AG381" i="13"/>
  <c r="AG222" i="13"/>
  <c r="AG97" i="13"/>
  <c r="AG156" i="13"/>
  <c r="AG407" i="13"/>
  <c r="AG429" i="13"/>
  <c r="AG111" i="13"/>
  <c r="AG371" i="13"/>
  <c r="AG318" i="13"/>
  <c r="AG106" i="13"/>
  <c r="AG262" i="13"/>
  <c r="AG326" i="13"/>
  <c r="AG216" i="13"/>
  <c r="AG234" i="13"/>
  <c r="AG282" i="13"/>
  <c r="AG110" i="13"/>
  <c r="AG310" i="13"/>
  <c r="AG245" i="13"/>
  <c r="AG121" i="13"/>
  <c r="AG402" i="13"/>
  <c r="AG317" i="13"/>
  <c r="AG189" i="13"/>
  <c r="AG247" i="13"/>
  <c r="AG311" i="13"/>
  <c r="AG319" i="13"/>
  <c r="AG389" i="13"/>
  <c r="AG298" i="13"/>
  <c r="AG65" i="13"/>
  <c r="AG231" i="13"/>
  <c r="AG122" i="13"/>
  <c r="AG356" i="13"/>
  <c r="AG280" i="13"/>
  <c r="AG153" i="13"/>
  <c r="AG385" i="13"/>
  <c r="AG172" i="13"/>
  <c r="AG353" i="13"/>
  <c r="AG260" i="13"/>
  <c r="AG354" i="13"/>
  <c r="AG239" i="13"/>
  <c r="AG325" i="13"/>
  <c r="AG314" i="13"/>
  <c r="AG329" i="13"/>
  <c r="AG206" i="13"/>
  <c r="AG435" i="13"/>
  <c r="AG434" i="13"/>
  <c r="AG432" i="13"/>
  <c r="AG430" i="13"/>
  <c r="AG427" i="13"/>
  <c r="AG426" i="13"/>
  <c r="AG425" i="13"/>
  <c r="AG424" i="13"/>
  <c r="AG423" i="13"/>
  <c r="AG422" i="13"/>
  <c r="AG421" i="13"/>
  <c r="AG420" i="13"/>
  <c r="AG419" i="13"/>
  <c r="AG417" i="13"/>
  <c r="AG416" i="13"/>
  <c r="AG415" i="13"/>
  <c r="AG414" i="13"/>
  <c r="AG413" i="13"/>
  <c r="AG411" i="13"/>
  <c r="AG410" i="13"/>
  <c r="AG409" i="13"/>
  <c r="AG408" i="13"/>
  <c r="AG10" i="13"/>
  <c r="AG405" i="13"/>
  <c r="AG53" i="13"/>
  <c r="AG403" i="13"/>
  <c r="AG401" i="13"/>
  <c r="AG400" i="13"/>
  <c r="AG399" i="13"/>
  <c r="AG398" i="13"/>
  <c r="AG397" i="13"/>
  <c r="AG396" i="13"/>
  <c r="AG395" i="13"/>
  <c r="AG394" i="13"/>
  <c r="AG392" i="13"/>
  <c r="AG391" i="13"/>
  <c r="AG390" i="13"/>
  <c r="AG388" i="13"/>
  <c r="AG387" i="13"/>
  <c r="AG384" i="13"/>
  <c r="AG383" i="13"/>
  <c r="AG382" i="13"/>
  <c r="AG380" i="13"/>
  <c r="AG379" i="13"/>
  <c r="AG378" i="13"/>
  <c r="AG51" i="13"/>
  <c r="AG375" i="13"/>
  <c r="AG374" i="13"/>
  <c r="AG372" i="13"/>
  <c r="AG370" i="13"/>
  <c r="AG368" i="13"/>
  <c r="AG366" i="13"/>
  <c r="AG364" i="13"/>
  <c r="AG50" i="13"/>
  <c r="AG360" i="13"/>
  <c r="AG358" i="13"/>
  <c r="AG357" i="13"/>
  <c r="AG352" i="13"/>
  <c r="AG350" i="13"/>
  <c r="AG28" i="13"/>
  <c r="AG348" i="13"/>
  <c r="AG347" i="13"/>
  <c r="AG345" i="13"/>
  <c r="AG343" i="13"/>
  <c r="AG342" i="13"/>
  <c r="AG341" i="13"/>
  <c r="AG340" i="13"/>
  <c r="AG339" i="13"/>
  <c r="AG336" i="13"/>
  <c r="AG335" i="13"/>
  <c r="AG333" i="13"/>
  <c r="AG332" i="13"/>
  <c r="AG331" i="13"/>
  <c r="AG330" i="13"/>
  <c r="AG328" i="13"/>
  <c r="AG327" i="13"/>
  <c r="AG323" i="13"/>
  <c r="AG322" i="13"/>
  <c r="AG30" i="13"/>
  <c r="AG320" i="13"/>
  <c r="AG316" i="13"/>
  <c r="AG315" i="13"/>
  <c r="AG313" i="13"/>
  <c r="AG312" i="13"/>
  <c r="AG309" i="13"/>
  <c r="AG308" i="13"/>
  <c r="AG307" i="13"/>
  <c r="AG306" i="13"/>
  <c r="AG305" i="13"/>
  <c r="AG304" i="13"/>
  <c r="AG303" i="13"/>
  <c r="AG301" i="13"/>
  <c r="AG300" i="13"/>
  <c r="AG297" i="13"/>
  <c r="AG296" i="13"/>
  <c r="AG24" i="13"/>
  <c r="AG294" i="13"/>
  <c r="AG293" i="13"/>
  <c r="AG292" i="13"/>
  <c r="AG291" i="13"/>
  <c r="AG290" i="13"/>
  <c r="AG289" i="13"/>
  <c r="AG36" i="13"/>
  <c r="AG287" i="13"/>
  <c r="AG286" i="13"/>
  <c r="AG285" i="13"/>
  <c r="AG284" i="13"/>
  <c r="AG283" i="13"/>
  <c r="AG279" i="13"/>
  <c r="AG278" i="13"/>
  <c r="AG276" i="13"/>
  <c r="AG275" i="13"/>
  <c r="AG274" i="13"/>
  <c r="AG273" i="13"/>
  <c r="AG272" i="13"/>
  <c r="AG271" i="13"/>
  <c r="AG270" i="13"/>
  <c r="AG269" i="13"/>
  <c r="AG267" i="13"/>
  <c r="AG264" i="13"/>
  <c r="AG263" i="13"/>
  <c r="AG261" i="13"/>
  <c r="AG258" i="13"/>
  <c r="AG254" i="13"/>
  <c r="AG252" i="13"/>
  <c r="AG251" i="13"/>
  <c r="AG250" i="13"/>
  <c r="AG249" i="13"/>
  <c r="AG248" i="13"/>
  <c r="AG246" i="13"/>
  <c r="AG244" i="13"/>
  <c r="AG241" i="13"/>
  <c r="AG240" i="13"/>
  <c r="AG238" i="13"/>
  <c r="AG236" i="13"/>
  <c r="AG235" i="13"/>
  <c r="AG233" i="13"/>
  <c r="AG232" i="13"/>
  <c r="AG230" i="13"/>
  <c r="AG229" i="13"/>
  <c r="AG228" i="13"/>
  <c r="AG227" i="13"/>
  <c r="AG226" i="13"/>
  <c r="AG225" i="13"/>
  <c r="AG224" i="13"/>
  <c r="AG48" i="13"/>
  <c r="AG219" i="13"/>
  <c r="AG218" i="13"/>
  <c r="AG215" i="13"/>
  <c r="AG213" i="13"/>
  <c r="AG211" i="13"/>
  <c r="AG209" i="13"/>
  <c r="AG208" i="13"/>
  <c r="AG204" i="13"/>
  <c r="AG203" i="13"/>
  <c r="AG201" i="13"/>
  <c r="AG200" i="13"/>
  <c r="AG199" i="13"/>
  <c r="AG197" i="13"/>
  <c r="AG196" i="13"/>
  <c r="AG195" i="13"/>
  <c r="AG194" i="13"/>
  <c r="AG193" i="13"/>
  <c r="AG192" i="13"/>
  <c r="AG191" i="13"/>
  <c r="AG190" i="13"/>
  <c r="AG187" i="13"/>
  <c r="AG186" i="13"/>
  <c r="AG185" i="13"/>
  <c r="AG184" i="13"/>
  <c r="AG182" i="13"/>
  <c r="AG181" i="13"/>
  <c r="AG180" i="13"/>
  <c r="AG179" i="13"/>
  <c r="AG178" i="13"/>
  <c r="AG46" i="13"/>
  <c r="AG177" i="13"/>
  <c r="AG176" i="13"/>
  <c r="AG175" i="13"/>
  <c r="AG174" i="13"/>
  <c r="AG171" i="13"/>
  <c r="AG170" i="13"/>
  <c r="AG169" i="13"/>
  <c r="AG168" i="13"/>
  <c r="AG166" i="13"/>
  <c r="AG165" i="13"/>
  <c r="AG164" i="13"/>
  <c r="AG163" i="13"/>
  <c r="AG162" i="13"/>
  <c r="AG161" i="13"/>
  <c r="AG159" i="13"/>
  <c r="AG158" i="13"/>
  <c r="AG157" i="13"/>
  <c r="AG155" i="13"/>
  <c r="AG154" i="13"/>
  <c r="AG152" i="13"/>
  <c r="AG151" i="13"/>
  <c r="AG150" i="13"/>
  <c r="AG149" i="13"/>
  <c r="AG148" i="13"/>
  <c r="AG147" i="13"/>
  <c r="AG146" i="13"/>
  <c r="AG144" i="13"/>
  <c r="AG141" i="13"/>
  <c r="AG140" i="13"/>
  <c r="AG136" i="13"/>
  <c r="AG135" i="13"/>
  <c r="AG134" i="13"/>
  <c r="AG132" i="13"/>
  <c r="AG131" i="13"/>
  <c r="AG130" i="13"/>
  <c r="AG129" i="13"/>
  <c r="AG128" i="13"/>
  <c r="AG125" i="13"/>
  <c r="AG123" i="13"/>
  <c r="AG120" i="13"/>
  <c r="AG119" i="13"/>
  <c r="AG118" i="13"/>
  <c r="AG113" i="13"/>
  <c r="AG16" i="13"/>
  <c r="AG15" i="13"/>
  <c r="AG107" i="13"/>
  <c r="AG105" i="13"/>
  <c r="AG104" i="13"/>
  <c r="AG103" i="13"/>
  <c r="AG102" i="13"/>
  <c r="AG101" i="13"/>
  <c r="AG100" i="13"/>
  <c r="AG99" i="13"/>
  <c r="AG96" i="13"/>
  <c r="AG94" i="13"/>
  <c r="AG92" i="13"/>
  <c r="AG91" i="13"/>
  <c r="AG90" i="13"/>
  <c r="AG89" i="13"/>
  <c r="AG88" i="13"/>
  <c r="AG87" i="13"/>
  <c r="AG84" i="13"/>
  <c r="AG81" i="13"/>
  <c r="AG79" i="13"/>
  <c r="AG78" i="13"/>
  <c r="AG74" i="13"/>
  <c r="AG73" i="13"/>
  <c r="AG72" i="13"/>
  <c r="AG71" i="13"/>
  <c r="AG70" i="13"/>
  <c r="AG69" i="13"/>
  <c r="AG68" i="13"/>
  <c r="AG67" i="13"/>
  <c r="AG66" i="13"/>
  <c r="AG64" i="13"/>
  <c r="AG63" i="13"/>
  <c r="AG62" i="13"/>
  <c r="AG61" i="13"/>
  <c r="AH441" i="13"/>
  <c r="AH440" i="13"/>
  <c r="AH439" i="13"/>
  <c r="AH438" i="13"/>
  <c r="AH86" i="13"/>
  <c r="AH295" i="13"/>
  <c r="AH127" i="13"/>
  <c r="AH344" i="13"/>
  <c r="AH259" i="13"/>
  <c r="AH412" i="13"/>
  <c r="AH98" i="13"/>
  <c r="AH428" i="13"/>
  <c r="AH202" i="13"/>
  <c r="AH386" i="13"/>
  <c r="AH266" i="13"/>
  <c r="AH243" i="13"/>
  <c r="AH255" i="13"/>
  <c r="AH346" i="13"/>
  <c r="AH80" i="13"/>
  <c r="AH299" i="13"/>
  <c r="AH205" i="13"/>
  <c r="AH167" i="13"/>
  <c r="AH373" i="13"/>
  <c r="AH160" i="13"/>
  <c r="AH173" i="13"/>
  <c r="AH221" i="13"/>
  <c r="AH381" i="13"/>
  <c r="AH222" i="13"/>
  <c r="AH97" i="13"/>
  <c r="AH156" i="13"/>
  <c r="AH407" i="13"/>
  <c r="AH429" i="13"/>
  <c r="AH111" i="13"/>
  <c r="AH371" i="13"/>
  <c r="AH318" i="13"/>
  <c r="AH106" i="13"/>
  <c r="AH262" i="13"/>
  <c r="AH326" i="13"/>
  <c r="AH216" i="13"/>
  <c r="AH234" i="13"/>
  <c r="AH282" i="13"/>
  <c r="AH110" i="13"/>
  <c r="AH310" i="13"/>
  <c r="AH245" i="13"/>
  <c r="AH121" i="13"/>
  <c r="AH402" i="13"/>
  <c r="AH317" i="13"/>
  <c r="AH189" i="13"/>
  <c r="AH247" i="13"/>
  <c r="AH311" i="13"/>
  <c r="AH319" i="13"/>
  <c r="AH389" i="13"/>
  <c r="AH298" i="13"/>
  <c r="AH65" i="13"/>
  <c r="AH231" i="13"/>
  <c r="AH122" i="13"/>
  <c r="AH356" i="13"/>
  <c r="AH280" i="13"/>
  <c r="AH153" i="13"/>
  <c r="AH385" i="13"/>
  <c r="AH172" i="13"/>
  <c r="AH260" i="13"/>
  <c r="AH354" i="13"/>
  <c r="AH239" i="13"/>
  <c r="AH325" i="13"/>
  <c r="AH115" i="13"/>
  <c r="AH314" i="13"/>
  <c r="AH329" i="13"/>
  <c r="AH206" i="13"/>
  <c r="AH435" i="13"/>
  <c r="AH434" i="13"/>
  <c r="AH432" i="13"/>
  <c r="AH430" i="13"/>
  <c r="AH427" i="13"/>
  <c r="AH426" i="13"/>
  <c r="AH425" i="13"/>
  <c r="AH424" i="13"/>
  <c r="AH423" i="13"/>
  <c r="AH422" i="13"/>
  <c r="AH421" i="13"/>
  <c r="AH420" i="13"/>
  <c r="AH419" i="13"/>
  <c r="AH417" i="13"/>
  <c r="AH416" i="13"/>
  <c r="AH415" i="13"/>
  <c r="AH414" i="13"/>
  <c r="AH413" i="13"/>
  <c r="AH411" i="13"/>
  <c r="AH410" i="13"/>
  <c r="AH409" i="13"/>
  <c r="AH10" i="13"/>
  <c r="AH405" i="13"/>
  <c r="AH53" i="13"/>
  <c r="AH403" i="13"/>
  <c r="AH401" i="13"/>
  <c r="AH400" i="13"/>
  <c r="AH399" i="13"/>
  <c r="AH398" i="13"/>
  <c r="AH397" i="13"/>
  <c r="AH396" i="13"/>
  <c r="AH395" i="13"/>
  <c r="AH394" i="13"/>
  <c r="AH392" i="13"/>
  <c r="AH391" i="13"/>
  <c r="AH390" i="13"/>
  <c r="AH388" i="13"/>
  <c r="AH387" i="13"/>
  <c r="AH384" i="13"/>
  <c r="AH383" i="13"/>
  <c r="AH382" i="13"/>
  <c r="AH380" i="13"/>
  <c r="AH378" i="13"/>
  <c r="AH51" i="13"/>
  <c r="AH375" i="13"/>
  <c r="AH374" i="13"/>
  <c r="AH372" i="13"/>
  <c r="AH370" i="13"/>
  <c r="AH368" i="13"/>
  <c r="AH366" i="13"/>
  <c r="AH364" i="13"/>
  <c r="AH50" i="13"/>
  <c r="AH361" i="13"/>
  <c r="AH360" i="13"/>
  <c r="AH358" i="13"/>
  <c r="AH357" i="13"/>
  <c r="AH352" i="13"/>
  <c r="AH350" i="13"/>
  <c r="AH28" i="13"/>
  <c r="AH348" i="13"/>
  <c r="AH347" i="13"/>
  <c r="AH345" i="13"/>
  <c r="AH343" i="13"/>
  <c r="AH342" i="13"/>
  <c r="AH341" i="13"/>
  <c r="AH340" i="13"/>
  <c r="AH339" i="13"/>
  <c r="AH336" i="13"/>
  <c r="AH335" i="13"/>
  <c r="AH333" i="13"/>
  <c r="AH331" i="13"/>
  <c r="AH330" i="13"/>
  <c r="AH327" i="13"/>
  <c r="AH323" i="13"/>
  <c r="AH322" i="13"/>
  <c r="AH30" i="13"/>
  <c r="AH320" i="13"/>
  <c r="AH316" i="13"/>
  <c r="AH313" i="13"/>
  <c r="AH312" i="13"/>
  <c r="AH309" i="13"/>
  <c r="AH308" i="13"/>
  <c r="AH307" i="13"/>
  <c r="AH305" i="13"/>
  <c r="AH304" i="13"/>
  <c r="AH303" i="13"/>
  <c r="AH301" i="13"/>
  <c r="AH300" i="13"/>
  <c r="AH297" i="13"/>
  <c r="AH296" i="13"/>
  <c r="AH24" i="13"/>
  <c r="AH294" i="13"/>
  <c r="AH293" i="13"/>
  <c r="AH292" i="13"/>
  <c r="AH291" i="13"/>
  <c r="AH290" i="13"/>
  <c r="AH289" i="13"/>
  <c r="AH36" i="13"/>
  <c r="AH287" i="13"/>
  <c r="AH286" i="13"/>
  <c r="AH285" i="13"/>
  <c r="AH284" i="13"/>
  <c r="AH283" i="13"/>
  <c r="AH279" i="13"/>
  <c r="AH278" i="13"/>
  <c r="AH276" i="13"/>
  <c r="AH275" i="13"/>
  <c r="AH274" i="13"/>
  <c r="AH273" i="13"/>
  <c r="AH272" i="13"/>
  <c r="AH271" i="13"/>
  <c r="AH270" i="13"/>
  <c r="AH269" i="13"/>
  <c r="AH267" i="13"/>
  <c r="AH264" i="13"/>
  <c r="AH263" i="13"/>
  <c r="AH261" i="13"/>
  <c r="AH258" i="13"/>
  <c r="AH254" i="13"/>
  <c r="AH252" i="13"/>
  <c r="AH251" i="13"/>
  <c r="AH250" i="13"/>
  <c r="AH249" i="13"/>
  <c r="AH248" i="13"/>
  <c r="AH246" i="13"/>
  <c r="AH244" i="13"/>
  <c r="AH241" i="13"/>
  <c r="AH240" i="13"/>
  <c r="AH238" i="13"/>
  <c r="AH236" i="13"/>
  <c r="AH235" i="13"/>
  <c r="AH233" i="13"/>
  <c r="AH232" i="13"/>
  <c r="AH230" i="13"/>
  <c r="AH229" i="13"/>
  <c r="AH228" i="13"/>
  <c r="AH227" i="13"/>
  <c r="AH226" i="13"/>
  <c r="AH225" i="13"/>
  <c r="AH224" i="13"/>
  <c r="AH48" i="13"/>
  <c r="AH219" i="13"/>
  <c r="AH218" i="13"/>
  <c r="AH215" i="13"/>
  <c r="AH211" i="13"/>
  <c r="AH209" i="13"/>
  <c r="AH208" i="13"/>
  <c r="AH204" i="13"/>
  <c r="AH203" i="13"/>
  <c r="AH201" i="13"/>
  <c r="AH200" i="13"/>
  <c r="AH199" i="13"/>
  <c r="AH197" i="13"/>
  <c r="AH196" i="13"/>
  <c r="AH195" i="13"/>
  <c r="AH194" i="13"/>
  <c r="AH193" i="13"/>
  <c r="AH192" i="13"/>
  <c r="AH191" i="13"/>
  <c r="AH190" i="13"/>
  <c r="AH187" i="13"/>
  <c r="AH186" i="13"/>
  <c r="AH185" i="13"/>
  <c r="AH184" i="13"/>
  <c r="AH182" i="13"/>
  <c r="AH181" i="13"/>
  <c r="AH180" i="13"/>
  <c r="AH179" i="13"/>
  <c r="AH178" i="13"/>
  <c r="AH46" i="13"/>
  <c r="AH177" i="13"/>
  <c r="AH176" i="13"/>
  <c r="AH175" i="13"/>
  <c r="AH174" i="13"/>
  <c r="AH171" i="13"/>
  <c r="AH170" i="13"/>
  <c r="AH169" i="13"/>
  <c r="AH168" i="13"/>
  <c r="AH166" i="13"/>
  <c r="AH165" i="13"/>
  <c r="AH164" i="13"/>
  <c r="AH163" i="13"/>
  <c r="AH162" i="13"/>
  <c r="AH161" i="13"/>
  <c r="AH159" i="13"/>
  <c r="AH158" i="13"/>
  <c r="AH157" i="13"/>
  <c r="AH155" i="13"/>
  <c r="AH154" i="13"/>
  <c r="AH152" i="13"/>
  <c r="AH151" i="13"/>
  <c r="AH150" i="13"/>
  <c r="AH149" i="13"/>
  <c r="AH148" i="13"/>
  <c r="AH147" i="13"/>
  <c r="AH146" i="13"/>
  <c r="AH144" i="13"/>
  <c r="AH141" i="13"/>
  <c r="AH140" i="13"/>
  <c r="AH136" i="13"/>
  <c r="AH135" i="13"/>
  <c r="AH134" i="13"/>
  <c r="AH132" i="13"/>
  <c r="AH131" i="13"/>
  <c r="AH130" i="13"/>
  <c r="AH129" i="13"/>
  <c r="AH128" i="13"/>
  <c r="AH125" i="13"/>
  <c r="AH123" i="13"/>
  <c r="AH120" i="13"/>
  <c r="AH119" i="13"/>
  <c r="AH118" i="13"/>
  <c r="AH113" i="13"/>
  <c r="AH16" i="13"/>
  <c r="AH15" i="13"/>
  <c r="AH107" i="13"/>
  <c r="AH105" i="13"/>
  <c r="AH104" i="13"/>
  <c r="AH103" i="13"/>
  <c r="AH102" i="13"/>
  <c r="AH101" i="13"/>
  <c r="AH100" i="13"/>
  <c r="AH99" i="13"/>
  <c r="AH96" i="13"/>
  <c r="AH94" i="13"/>
  <c r="AH92" i="13"/>
  <c r="AH91" i="13"/>
  <c r="AH90" i="13"/>
  <c r="AH89" i="13"/>
  <c r="AH88" i="13"/>
  <c r="AH87" i="13"/>
  <c r="AH84" i="13"/>
  <c r="AH83" i="13"/>
  <c r="AH81" i="13"/>
  <c r="AH79" i="13"/>
  <c r="AH78" i="13"/>
  <c r="AH74" i="13"/>
  <c r="AH73" i="13"/>
  <c r="AH72" i="13"/>
  <c r="AH71" i="13"/>
  <c r="AH70" i="13"/>
  <c r="AH69" i="13"/>
  <c r="AH68" i="13"/>
  <c r="AH67" i="13"/>
  <c r="AH64" i="13"/>
  <c r="AH63" i="13"/>
  <c r="AH62" i="13"/>
  <c r="AH61" i="13"/>
  <c r="AI441" i="13"/>
  <c r="AI440" i="13"/>
  <c r="AI439" i="13"/>
  <c r="AI438" i="13"/>
  <c r="AI86" i="13"/>
  <c r="AI295" i="13"/>
  <c r="AI433" i="13"/>
  <c r="AI127" i="13"/>
  <c r="AI344" i="13"/>
  <c r="AI259" i="13"/>
  <c r="AI412" i="13"/>
  <c r="AI98" i="13"/>
  <c r="AI428" i="13"/>
  <c r="AI202" i="13"/>
  <c r="AI386" i="13"/>
  <c r="AI266" i="13"/>
  <c r="AI243" i="13"/>
  <c r="AI255" i="13"/>
  <c r="AI346" i="13"/>
  <c r="AI80" i="13"/>
  <c r="AI299" i="13"/>
  <c r="AI205" i="13"/>
  <c r="AI167" i="13"/>
  <c r="AI373" i="13"/>
  <c r="AI160" i="13"/>
  <c r="AI265" i="13"/>
  <c r="AI173" i="13"/>
  <c r="AI221" i="13"/>
  <c r="AI381" i="13"/>
  <c r="AI222" i="13"/>
  <c r="AI97" i="13"/>
  <c r="AI156" i="13"/>
  <c r="AI407" i="13"/>
  <c r="AI429" i="13"/>
  <c r="AI111" i="13"/>
  <c r="AI371" i="13"/>
  <c r="AI318" i="13"/>
  <c r="AI106" i="13"/>
  <c r="AI262" i="13"/>
  <c r="AI326" i="13"/>
  <c r="AI216" i="13"/>
  <c r="AI234" i="13"/>
  <c r="AI282" i="13"/>
  <c r="AI110" i="13"/>
  <c r="AI310" i="13"/>
  <c r="AI245" i="13"/>
  <c r="AI121" i="13"/>
  <c r="AI402" i="13"/>
  <c r="AI317" i="13"/>
  <c r="AI189" i="13"/>
  <c r="AI349" i="13"/>
  <c r="AI247" i="13"/>
  <c r="AI311" i="13"/>
  <c r="AI319" i="13"/>
  <c r="AI389" i="13"/>
  <c r="AI298" i="13"/>
  <c r="AI65" i="13"/>
  <c r="AI231" i="13"/>
  <c r="AI122" i="13"/>
  <c r="AI356" i="13"/>
  <c r="AI280" i="13"/>
  <c r="AI153" i="13"/>
  <c r="AI385" i="13"/>
  <c r="AI172" i="13"/>
  <c r="AI260" i="13"/>
  <c r="AI354" i="13"/>
  <c r="AI239" i="13"/>
  <c r="AI325" i="13"/>
  <c r="AI115" i="13"/>
  <c r="AI314" i="13"/>
  <c r="AI329" i="13"/>
  <c r="AI206" i="13"/>
  <c r="AI435" i="13"/>
  <c r="AI434" i="13"/>
  <c r="AI432" i="13"/>
  <c r="AI430" i="13"/>
  <c r="AI427" i="13"/>
  <c r="AI426" i="13"/>
  <c r="AI425" i="13"/>
  <c r="AI424" i="13"/>
  <c r="I423" i="13"/>
  <c r="AI423" i="13" s="1"/>
  <c r="AI422" i="13"/>
  <c r="AI421" i="13"/>
  <c r="AI420" i="13"/>
  <c r="AI419" i="13"/>
  <c r="AI417" i="13"/>
  <c r="AI416" i="13"/>
  <c r="AI415" i="13"/>
  <c r="AI414" i="13"/>
  <c r="AI413" i="13"/>
  <c r="AI411" i="13"/>
  <c r="AI410" i="13"/>
  <c r="AI409" i="13"/>
  <c r="I408" i="13"/>
  <c r="AI10" i="13"/>
  <c r="AI54" i="13"/>
  <c r="AI405" i="13"/>
  <c r="AI53" i="13"/>
  <c r="AI403" i="13"/>
  <c r="AI401" i="13"/>
  <c r="AI400" i="13"/>
  <c r="AI399" i="13"/>
  <c r="AI398" i="13"/>
  <c r="AI397" i="13"/>
  <c r="AI396" i="13"/>
  <c r="AI395" i="13"/>
  <c r="AI394" i="13"/>
  <c r="AI392" i="13"/>
  <c r="AI391" i="13"/>
  <c r="AI390" i="13"/>
  <c r="AI388" i="13"/>
  <c r="AI387" i="13"/>
  <c r="AI384" i="13"/>
  <c r="AI383" i="13"/>
  <c r="AI382" i="13"/>
  <c r="AI380" i="13"/>
  <c r="AI378" i="13"/>
  <c r="AI51" i="13"/>
  <c r="I375" i="13"/>
  <c r="AI375" i="13" s="1"/>
  <c r="AI374" i="13"/>
  <c r="AI372" i="13"/>
  <c r="AI370" i="13"/>
  <c r="AI368" i="13"/>
  <c r="AI366" i="13"/>
  <c r="AI364" i="13"/>
  <c r="AI50" i="13"/>
  <c r="AI361" i="13"/>
  <c r="AI360" i="13"/>
  <c r="AI358" i="13"/>
  <c r="AI357" i="13"/>
  <c r="AI352" i="13"/>
  <c r="AI350" i="13"/>
  <c r="AI28" i="13"/>
  <c r="AI348" i="13"/>
  <c r="AI347" i="13"/>
  <c r="I345" i="13"/>
  <c r="AI345" i="13" s="1"/>
  <c r="AI343" i="13"/>
  <c r="I342" i="13"/>
  <c r="AI342" i="13" s="1"/>
  <c r="AI341" i="13"/>
  <c r="AI340" i="13"/>
  <c r="I339" i="13"/>
  <c r="AI339" i="13" s="1"/>
  <c r="I337" i="13"/>
  <c r="AI337" i="13" s="1"/>
  <c r="AI336" i="13"/>
  <c r="AI335" i="13"/>
  <c r="AI333" i="13"/>
  <c r="I332" i="13"/>
  <c r="AI332" i="13" s="1"/>
  <c r="AI331" i="13"/>
  <c r="AI330" i="13"/>
  <c r="I328" i="13"/>
  <c r="AI328" i="13" s="1"/>
  <c r="AI327" i="13"/>
  <c r="AI323" i="13"/>
  <c r="AI322" i="13"/>
  <c r="AI30" i="13"/>
  <c r="AI320" i="13"/>
  <c r="AI316" i="13"/>
  <c r="I315" i="13"/>
  <c r="AI313" i="13"/>
  <c r="AI312" i="13"/>
  <c r="AI309" i="13"/>
  <c r="AI308" i="13"/>
  <c r="I307" i="13"/>
  <c r="AI307" i="13" s="1"/>
  <c r="I306" i="13"/>
  <c r="AI305" i="13"/>
  <c r="AI304" i="13"/>
  <c r="AI303" i="13"/>
  <c r="AI301" i="13"/>
  <c r="AI300" i="13"/>
  <c r="AI297" i="13"/>
  <c r="AI296" i="13"/>
  <c r="AI24" i="13"/>
  <c r="AI294" i="13"/>
  <c r="AI293" i="13"/>
  <c r="AI292" i="13"/>
  <c r="I291" i="13"/>
  <c r="AI291" i="13" s="1"/>
  <c r="AI290" i="13"/>
  <c r="AI289" i="13"/>
  <c r="AI36" i="13"/>
  <c r="AI288" i="13"/>
  <c r="AI287" i="13"/>
  <c r="I286" i="13"/>
  <c r="AI286" i="13" s="1"/>
  <c r="AI285" i="13"/>
  <c r="AI284" i="13"/>
  <c r="AI283" i="13"/>
  <c r="AI279" i="13"/>
  <c r="AI278" i="13"/>
  <c r="AI276" i="13"/>
  <c r="AI275" i="13"/>
  <c r="AI274" i="13"/>
  <c r="AI273" i="13"/>
  <c r="AI272" i="13"/>
  <c r="AI271" i="13"/>
  <c r="AI270" i="13"/>
  <c r="AI269" i="13"/>
  <c r="AI267" i="13"/>
  <c r="AI264" i="13"/>
  <c r="AI263" i="13"/>
  <c r="AI261" i="13"/>
  <c r="AI258" i="13"/>
  <c r="AI254" i="13"/>
  <c r="AI252" i="13"/>
  <c r="AI251" i="13"/>
  <c r="AI250" i="13"/>
  <c r="I249" i="13"/>
  <c r="AI249" i="13" s="1"/>
  <c r="AI248" i="13"/>
  <c r="AI246" i="13"/>
  <c r="AI244" i="13"/>
  <c r="I241" i="13"/>
  <c r="AI241" i="13" s="1"/>
  <c r="AI240" i="13"/>
  <c r="AI238" i="13"/>
  <c r="AI236" i="13"/>
  <c r="AI235" i="13"/>
  <c r="AI233" i="13"/>
  <c r="AI232" i="13"/>
  <c r="AI230" i="13"/>
  <c r="AI229" i="13"/>
  <c r="AI228" i="13"/>
  <c r="AI227" i="13"/>
  <c r="AI226" i="13"/>
  <c r="AI225" i="13"/>
  <c r="AI224" i="13"/>
  <c r="AI48" i="13"/>
  <c r="AI219" i="13"/>
  <c r="AI218" i="13"/>
  <c r="AI215" i="13"/>
  <c r="I213" i="13"/>
  <c r="AI213" i="13" s="1"/>
  <c r="AI211" i="13"/>
  <c r="AI209" i="13"/>
  <c r="AI208" i="13"/>
  <c r="AI204" i="13"/>
  <c r="AI203" i="13"/>
  <c r="AI201" i="13"/>
  <c r="AI200" i="13"/>
  <c r="AI199" i="13"/>
  <c r="I197" i="13"/>
  <c r="AI197" i="13" s="1"/>
  <c r="AI196" i="13"/>
  <c r="AI195" i="13"/>
  <c r="AI194" i="13"/>
  <c r="AI193" i="13"/>
  <c r="AI192" i="13"/>
  <c r="AI191" i="13"/>
  <c r="AI190" i="13"/>
  <c r="AI187" i="13"/>
  <c r="AI186" i="13"/>
  <c r="AI185" i="13"/>
  <c r="I184" i="13"/>
  <c r="AI184" i="13" s="1"/>
  <c r="AI182" i="13"/>
  <c r="AI181" i="13"/>
  <c r="AI180" i="13"/>
  <c r="AI179" i="13"/>
  <c r="AI178" i="13"/>
  <c r="AI46" i="13"/>
  <c r="AI177" i="13"/>
  <c r="AI176" i="13"/>
  <c r="AI175" i="13"/>
  <c r="AI174" i="13"/>
  <c r="AI171" i="13"/>
  <c r="AI170" i="13"/>
  <c r="AI169" i="13"/>
  <c r="AI168" i="13"/>
  <c r="AI166" i="13"/>
  <c r="AI165" i="13"/>
  <c r="AI164" i="13"/>
  <c r="AI163" i="13"/>
  <c r="AI162" i="13"/>
  <c r="AI161" i="13"/>
  <c r="AI159" i="13"/>
  <c r="AI158" i="13"/>
  <c r="AI157" i="13"/>
  <c r="I155" i="13"/>
  <c r="AJ155" i="13" s="1"/>
  <c r="AI154" i="13"/>
  <c r="AI152" i="13"/>
  <c r="AI151" i="13"/>
  <c r="AI150" i="13"/>
  <c r="I149" i="13"/>
  <c r="AI149" i="13" s="1"/>
  <c r="AI148" i="13"/>
  <c r="AI147" i="13"/>
  <c r="AI146" i="13"/>
  <c r="AI144" i="13"/>
  <c r="AI141" i="13"/>
  <c r="AI140" i="13"/>
  <c r="AI136" i="13"/>
  <c r="AI135" i="13"/>
  <c r="I134" i="13"/>
  <c r="AI134" i="13" s="1"/>
  <c r="AI132" i="13"/>
  <c r="AI131" i="13"/>
  <c r="AI130" i="13"/>
  <c r="AI129" i="13"/>
  <c r="AI128" i="13"/>
  <c r="I126" i="13"/>
  <c r="AJ126" i="13" s="1"/>
  <c r="AI125" i="13"/>
  <c r="I123" i="13"/>
  <c r="AI123" i="13" s="1"/>
  <c r="AI120" i="13"/>
  <c r="AI119" i="13"/>
  <c r="AI118" i="13"/>
  <c r="I117" i="13"/>
  <c r="AJ117" i="13" s="1"/>
  <c r="AI113" i="13"/>
  <c r="AI16" i="13"/>
  <c r="AI15" i="13"/>
  <c r="AI107" i="13"/>
  <c r="AI105" i="13"/>
  <c r="AI104" i="13"/>
  <c r="AI103" i="13"/>
  <c r="AI102" i="13"/>
  <c r="I101" i="13"/>
  <c r="AI100" i="13"/>
  <c r="AI99" i="13"/>
  <c r="AI96" i="13"/>
  <c r="I94" i="13"/>
  <c r="AI92" i="13"/>
  <c r="AI91" i="13"/>
  <c r="AI90" i="13"/>
  <c r="AI89" i="13"/>
  <c r="AI88" i="13"/>
  <c r="AI87" i="13"/>
  <c r="AI84" i="13"/>
  <c r="I83" i="13"/>
  <c r="AI81" i="13"/>
  <c r="AI79" i="13"/>
  <c r="AI78" i="13"/>
  <c r="I75" i="13"/>
  <c r="AI74" i="13"/>
  <c r="AI73" i="13"/>
  <c r="I72" i="13"/>
  <c r="AI72" i="13" s="1"/>
  <c r="AI71" i="13"/>
  <c r="AI70" i="13"/>
  <c r="AI69" i="13"/>
  <c r="AI68" i="13"/>
  <c r="AI67" i="13"/>
  <c r="AI66" i="13"/>
  <c r="AI64" i="13"/>
  <c r="AI63" i="13"/>
  <c r="AI62" i="13"/>
  <c r="AI61" i="13"/>
  <c r="AJ441" i="13"/>
  <c r="AJ440" i="13"/>
  <c r="AJ439" i="13"/>
  <c r="AJ438" i="13"/>
  <c r="AJ86" i="13"/>
  <c r="AJ295" i="13"/>
  <c r="AJ433" i="13"/>
  <c r="AJ127" i="13"/>
  <c r="AJ344" i="13"/>
  <c r="AJ259" i="13"/>
  <c r="AJ412" i="13"/>
  <c r="AJ98" i="13"/>
  <c r="AJ428" i="13"/>
  <c r="AJ202" i="13"/>
  <c r="AJ386" i="13"/>
  <c r="AJ266" i="13"/>
  <c r="AJ243" i="13"/>
  <c r="AJ255" i="13"/>
  <c r="AJ346" i="13"/>
  <c r="AJ80" i="13"/>
  <c r="AJ299" i="13"/>
  <c r="AJ205" i="13"/>
  <c r="AJ376" i="13"/>
  <c r="AJ167" i="13"/>
  <c r="AJ373" i="13"/>
  <c r="AJ160" i="13"/>
  <c r="AJ265" i="13"/>
  <c r="AJ173" i="13"/>
  <c r="AJ221" i="13"/>
  <c r="AJ381" i="13"/>
  <c r="AJ222" i="13"/>
  <c r="AJ97" i="13"/>
  <c r="AJ156" i="13"/>
  <c r="AJ407" i="13"/>
  <c r="AJ429" i="13"/>
  <c r="AJ111" i="13"/>
  <c r="AJ371" i="13"/>
  <c r="AJ318" i="13"/>
  <c r="AJ106" i="13"/>
  <c r="AJ262" i="13"/>
  <c r="AJ326" i="13"/>
  <c r="AJ216" i="13"/>
  <c r="AJ234" i="13"/>
  <c r="AJ282" i="13"/>
  <c r="AJ110" i="13"/>
  <c r="AJ310" i="13"/>
  <c r="AJ245" i="13"/>
  <c r="AJ121" i="13"/>
  <c r="AJ402" i="13"/>
  <c r="AJ317" i="13"/>
  <c r="AJ189" i="13"/>
  <c r="AJ349" i="13"/>
  <c r="AJ247" i="13"/>
  <c r="AJ311" i="13"/>
  <c r="AJ319" i="13"/>
  <c r="AJ389" i="13"/>
  <c r="AJ298" i="13"/>
  <c r="AJ212" i="13"/>
  <c r="AJ65" i="13"/>
  <c r="AJ231" i="13"/>
  <c r="AJ122" i="13"/>
  <c r="AJ356" i="13"/>
  <c r="AJ280" i="13"/>
  <c r="AJ153" i="13"/>
  <c r="AJ385" i="13"/>
  <c r="AJ172" i="13"/>
  <c r="AJ353" i="13"/>
  <c r="AJ260" i="13"/>
  <c r="AJ354" i="13"/>
  <c r="AJ239" i="13"/>
  <c r="AJ325" i="13"/>
  <c r="AJ115" i="13"/>
  <c r="AJ314" i="13"/>
  <c r="AJ329" i="13"/>
  <c r="AJ206" i="13"/>
  <c r="AJ435" i="13"/>
  <c r="AJ434" i="13"/>
  <c r="AJ432" i="13"/>
  <c r="AJ430" i="13"/>
  <c r="AJ427" i="13"/>
  <c r="AJ426" i="13"/>
  <c r="AJ425" i="13"/>
  <c r="AJ424" i="13"/>
  <c r="AJ422" i="13"/>
  <c r="AJ421" i="13"/>
  <c r="AJ420" i="13"/>
  <c r="AJ419" i="13"/>
  <c r="AJ417" i="13"/>
  <c r="AJ416" i="13"/>
  <c r="AJ415" i="13"/>
  <c r="AJ414" i="13"/>
  <c r="AJ413" i="13"/>
  <c r="AJ411" i="13"/>
  <c r="AJ410" i="13"/>
  <c r="AJ409" i="13"/>
  <c r="J408" i="13"/>
  <c r="AK408" i="13" s="1"/>
  <c r="AJ10" i="13"/>
  <c r="AJ54" i="13"/>
  <c r="AJ405" i="13"/>
  <c r="AJ53" i="13"/>
  <c r="AJ403" i="13"/>
  <c r="AJ401" i="13"/>
  <c r="AJ400" i="13"/>
  <c r="AJ399" i="13"/>
  <c r="AJ398" i="13"/>
  <c r="AJ397" i="13"/>
  <c r="J396" i="13"/>
  <c r="AJ396" i="13" s="1"/>
  <c r="AJ395" i="13"/>
  <c r="AJ394" i="13"/>
  <c r="AJ392" i="13"/>
  <c r="AJ391" i="13"/>
  <c r="AJ390" i="13"/>
  <c r="AJ388" i="13"/>
  <c r="AJ387" i="13"/>
  <c r="AJ384" i="13"/>
  <c r="AJ383" i="13"/>
  <c r="AJ382" i="13"/>
  <c r="AJ380" i="13"/>
  <c r="J379" i="13"/>
  <c r="AJ379" i="13" s="1"/>
  <c r="AJ378" i="13"/>
  <c r="AJ51" i="13"/>
  <c r="J375" i="13"/>
  <c r="AK375" i="13" s="1"/>
  <c r="AJ374" i="13"/>
  <c r="AJ372" i="13"/>
  <c r="AJ370" i="13"/>
  <c r="AJ368" i="13"/>
  <c r="AJ366" i="13"/>
  <c r="AJ364" i="13"/>
  <c r="AJ50" i="13"/>
  <c r="AJ361" i="13"/>
  <c r="AJ360" i="13"/>
  <c r="AJ358" i="13"/>
  <c r="AJ357" i="13"/>
  <c r="AJ352" i="13"/>
  <c r="AJ350" i="13"/>
  <c r="AJ28" i="13"/>
  <c r="AJ348" i="13"/>
  <c r="AJ347" i="13"/>
  <c r="J345" i="13"/>
  <c r="AJ343" i="13"/>
  <c r="J342" i="13"/>
  <c r="AJ341" i="13"/>
  <c r="AJ340" i="13"/>
  <c r="J337" i="13"/>
  <c r="AJ336" i="13"/>
  <c r="AJ335" i="13"/>
  <c r="AJ333" i="13"/>
  <c r="J332" i="13"/>
  <c r="J331" i="13"/>
  <c r="AJ330" i="13"/>
  <c r="AJ327" i="13"/>
  <c r="AJ323" i="13"/>
  <c r="AJ322" i="13"/>
  <c r="AJ30" i="13"/>
  <c r="AJ320" i="13"/>
  <c r="AJ316" i="13"/>
  <c r="J315" i="13"/>
  <c r="AJ313" i="13"/>
  <c r="AJ312" i="13"/>
  <c r="AJ309" i="13"/>
  <c r="AJ308" i="13"/>
  <c r="J306" i="13"/>
  <c r="AJ305" i="13"/>
  <c r="AJ304" i="13"/>
  <c r="AJ303" i="13"/>
  <c r="AJ301" i="13"/>
  <c r="AJ300" i="13"/>
  <c r="AJ297" i="13"/>
  <c r="AJ296" i="13"/>
  <c r="AJ24" i="13"/>
  <c r="AJ294" i="13"/>
  <c r="AJ293" i="13"/>
  <c r="AJ292" i="13"/>
  <c r="J291" i="13"/>
  <c r="AJ290" i="13"/>
  <c r="AJ289" i="13"/>
  <c r="AJ36" i="13"/>
  <c r="AJ288" i="13"/>
  <c r="AJ287" i="13"/>
  <c r="J286" i="13"/>
  <c r="AJ285" i="13"/>
  <c r="AJ284" i="13"/>
  <c r="AJ283" i="13"/>
  <c r="AJ279" i="13"/>
  <c r="AJ278" i="13"/>
  <c r="AJ276" i="13"/>
  <c r="AJ275" i="13"/>
  <c r="AJ274" i="13"/>
  <c r="AJ273" i="13"/>
  <c r="AJ272" i="13"/>
  <c r="AJ271" i="13"/>
  <c r="AJ270" i="13"/>
  <c r="AJ269" i="13"/>
  <c r="AJ267" i="13"/>
  <c r="AJ264" i="13"/>
  <c r="AJ263" i="13"/>
  <c r="AJ261" i="13"/>
  <c r="AJ258" i="13"/>
  <c r="AJ254" i="13"/>
  <c r="AJ252" i="13"/>
  <c r="AJ251" i="13"/>
  <c r="AJ250" i="13"/>
  <c r="AJ248" i="13"/>
  <c r="AJ246" i="13"/>
  <c r="AJ244" i="13"/>
  <c r="AJ240" i="13"/>
  <c r="AJ238" i="13"/>
  <c r="AJ236" i="13"/>
  <c r="AJ235" i="13"/>
  <c r="AJ233" i="13"/>
  <c r="AJ232" i="13"/>
  <c r="AJ230" i="13"/>
  <c r="AJ229" i="13"/>
  <c r="J228" i="13"/>
  <c r="AJ228" i="13" s="1"/>
  <c r="AJ227" i="13"/>
  <c r="AJ226" i="13"/>
  <c r="AJ225" i="13"/>
  <c r="AJ224" i="13"/>
  <c r="AJ48" i="13"/>
  <c r="AJ219" i="13"/>
  <c r="AJ218" i="13"/>
  <c r="AJ215" i="13"/>
  <c r="J213" i="13"/>
  <c r="AJ213" i="13" s="1"/>
  <c r="AJ211" i="13"/>
  <c r="AJ209" i="13"/>
  <c r="AJ208" i="13"/>
  <c r="AJ204" i="13"/>
  <c r="AJ203" i="13"/>
  <c r="AJ201" i="13"/>
  <c r="AJ200" i="13"/>
  <c r="AJ199" i="13"/>
  <c r="J197" i="13"/>
  <c r="AK197" i="13" s="1"/>
  <c r="AJ196" i="13"/>
  <c r="AJ195" i="13"/>
  <c r="AJ194" i="13"/>
  <c r="AJ193" i="13"/>
  <c r="AJ192" i="13"/>
  <c r="AJ191" i="13"/>
  <c r="AJ190" i="13"/>
  <c r="AJ188" i="13"/>
  <c r="AJ187" i="13"/>
  <c r="AJ186" i="13"/>
  <c r="AJ185" i="13"/>
  <c r="J184" i="13"/>
  <c r="AJ182" i="13"/>
  <c r="AJ181" i="13"/>
  <c r="AJ180" i="13"/>
  <c r="AJ179" i="13"/>
  <c r="AJ178" i="13"/>
  <c r="AJ46" i="13"/>
  <c r="AJ177" i="13"/>
  <c r="AJ176" i="13"/>
  <c r="AJ175" i="13"/>
  <c r="AJ174" i="13"/>
  <c r="AJ171" i="13"/>
  <c r="AJ170" i="13"/>
  <c r="J169" i="13"/>
  <c r="AJ169" i="13" s="1"/>
  <c r="AJ168" i="13"/>
  <c r="AJ166" i="13"/>
  <c r="AJ165" i="13"/>
  <c r="AJ164" i="13"/>
  <c r="AJ163" i="13"/>
  <c r="AJ162" i="13"/>
  <c r="AJ161" i="13"/>
  <c r="AJ159" i="13"/>
  <c r="AJ158" i="13"/>
  <c r="AJ157" i="13"/>
  <c r="AJ154" i="13"/>
  <c r="AJ152" i="13"/>
  <c r="AJ151" i="13"/>
  <c r="AJ150" i="13"/>
  <c r="J149" i="13"/>
  <c r="AJ148" i="13"/>
  <c r="AJ147" i="13"/>
  <c r="AJ146" i="13"/>
  <c r="AJ144" i="13"/>
  <c r="AJ141" i="13"/>
  <c r="AJ140" i="13"/>
  <c r="AJ136" i="13"/>
  <c r="AJ135" i="13"/>
  <c r="AJ132" i="13"/>
  <c r="AJ131" i="13"/>
  <c r="AJ130" i="13"/>
  <c r="AJ129" i="13"/>
  <c r="AJ128" i="13"/>
  <c r="AJ125" i="13"/>
  <c r="J123" i="13"/>
  <c r="AJ120" i="13"/>
  <c r="AJ119" i="13"/>
  <c r="AJ118" i="13"/>
  <c r="AJ113" i="13"/>
  <c r="AJ16" i="13"/>
  <c r="AJ15" i="13"/>
  <c r="AJ107" i="13"/>
  <c r="AJ105" i="13"/>
  <c r="AJ104" i="13"/>
  <c r="J103" i="13"/>
  <c r="AJ103" i="13" s="1"/>
  <c r="AJ102" i="13"/>
  <c r="AJ100" i="13"/>
  <c r="AJ99" i="13"/>
  <c r="J96" i="13"/>
  <c r="AJ96" i="13" s="1"/>
  <c r="AJ92" i="13"/>
  <c r="AJ91" i="13"/>
  <c r="AJ90" i="13"/>
  <c r="AJ89" i="13"/>
  <c r="AJ88" i="13"/>
  <c r="AJ87" i="13"/>
  <c r="AJ84" i="13"/>
  <c r="AJ81" i="13"/>
  <c r="AJ79" i="13"/>
  <c r="AJ78" i="13"/>
  <c r="J75" i="13"/>
  <c r="AJ74" i="13"/>
  <c r="AJ73" i="13"/>
  <c r="J71" i="13"/>
  <c r="AJ70" i="13"/>
  <c r="AJ69" i="13"/>
  <c r="AJ68" i="13"/>
  <c r="AJ67" i="13"/>
  <c r="AJ66" i="13"/>
  <c r="AJ64" i="13"/>
  <c r="AJ63" i="13"/>
  <c r="AJ62" i="13"/>
  <c r="AJ61" i="13"/>
  <c r="AK441" i="13"/>
  <c r="AK440" i="13"/>
  <c r="AK439" i="13"/>
  <c r="AK438" i="13"/>
  <c r="AK86" i="13"/>
  <c r="AK295" i="13"/>
  <c r="AK433" i="13"/>
  <c r="AK127" i="13"/>
  <c r="AK344" i="13"/>
  <c r="AK259" i="13"/>
  <c r="AK412" i="13"/>
  <c r="AK98" i="13"/>
  <c r="AK428" i="13"/>
  <c r="AK202" i="13"/>
  <c r="AK386" i="13"/>
  <c r="AK266" i="13"/>
  <c r="AK243" i="13"/>
  <c r="AK255" i="13"/>
  <c r="AK346" i="13"/>
  <c r="AK80" i="13"/>
  <c r="AK299" i="13"/>
  <c r="AK205" i="13"/>
  <c r="AK376" i="13"/>
  <c r="AK167" i="13"/>
  <c r="AK373" i="13"/>
  <c r="AK160" i="13"/>
  <c r="AK265" i="13"/>
  <c r="AK173" i="13"/>
  <c r="AK221" i="13"/>
  <c r="AK381" i="13"/>
  <c r="AK222" i="13"/>
  <c r="AK97" i="13"/>
  <c r="AK156" i="13"/>
  <c r="AK407" i="13"/>
  <c r="AK429" i="13"/>
  <c r="AK111" i="13"/>
  <c r="AK371" i="13"/>
  <c r="AK318" i="13"/>
  <c r="AK106" i="13"/>
  <c r="AK262" i="13"/>
  <c r="AK326" i="13"/>
  <c r="AK216" i="13"/>
  <c r="AK234" i="13"/>
  <c r="AK282" i="13"/>
  <c r="AK110" i="13"/>
  <c r="AK310" i="13"/>
  <c r="AK245" i="13"/>
  <c r="AK121" i="13"/>
  <c r="AK402" i="13"/>
  <c r="AK317" i="13"/>
  <c r="AK189" i="13"/>
  <c r="AK349" i="13"/>
  <c r="AK247" i="13"/>
  <c r="AK311" i="13"/>
  <c r="AK319" i="13"/>
  <c r="AK389" i="13"/>
  <c r="AK298" i="13"/>
  <c r="AK212" i="13"/>
  <c r="AK65" i="13"/>
  <c r="AK231" i="13"/>
  <c r="AK122" i="13"/>
  <c r="AK356" i="13"/>
  <c r="AK280" i="13"/>
  <c r="AK153" i="13"/>
  <c r="AK385" i="13"/>
  <c r="AK172" i="13"/>
  <c r="AK353" i="13"/>
  <c r="AK260" i="13"/>
  <c r="AK354" i="13"/>
  <c r="AK239" i="13"/>
  <c r="AK325" i="13"/>
  <c r="AK115" i="13"/>
  <c r="AK314" i="13"/>
  <c r="AK329" i="13"/>
  <c r="AK206" i="13"/>
  <c r="AK435" i="13"/>
  <c r="AK434" i="13"/>
  <c r="AK432" i="13"/>
  <c r="AK430" i="13"/>
  <c r="AK427" i="13"/>
  <c r="AK426" i="13"/>
  <c r="AK425" i="13"/>
  <c r="AK424" i="13"/>
  <c r="AK423" i="13"/>
  <c r="AK422" i="13"/>
  <c r="AK421" i="13"/>
  <c r="AK420" i="13"/>
  <c r="AK419" i="13"/>
  <c r="AK417" i="13"/>
  <c r="AK416" i="13"/>
  <c r="AK415" i="13"/>
  <c r="AK414" i="13"/>
  <c r="AK413" i="13"/>
  <c r="AK411" i="13"/>
  <c r="AK410" i="13"/>
  <c r="AK409" i="13"/>
  <c r="AK10" i="13"/>
  <c r="AK54" i="13"/>
  <c r="AK405" i="13"/>
  <c r="AK53" i="13"/>
  <c r="AK403" i="13"/>
  <c r="AK401" i="13"/>
  <c r="AK400" i="13"/>
  <c r="AK399" i="13"/>
  <c r="AK398" i="13"/>
  <c r="AK397" i="13"/>
  <c r="AK395" i="13"/>
  <c r="AK394" i="13"/>
  <c r="AK392" i="13"/>
  <c r="AK391" i="13"/>
  <c r="AK390" i="13"/>
  <c r="AK388" i="13"/>
  <c r="AK387" i="13"/>
  <c r="AK384" i="13"/>
  <c r="AK383" i="13"/>
  <c r="AK382" i="13"/>
  <c r="AK380" i="13"/>
  <c r="AK378" i="13"/>
  <c r="AK51" i="13"/>
  <c r="AK374" i="13"/>
  <c r="AK372" i="13"/>
  <c r="AK370" i="13"/>
  <c r="AK368" i="13"/>
  <c r="AK366" i="13"/>
  <c r="AK364" i="13"/>
  <c r="AK50" i="13"/>
  <c r="AK361" i="13"/>
  <c r="AK360" i="13"/>
  <c r="AK358" i="13"/>
  <c r="AK357" i="13"/>
  <c r="AK352" i="13"/>
  <c r="AK350" i="13"/>
  <c r="AK28" i="13"/>
  <c r="AK348" i="13"/>
  <c r="AK347" i="13"/>
  <c r="K345" i="13"/>
  <c r="AL345" i="13" s="1"/>
  <c r="AK343" i="13"/>
  <c r="K342" i="13"/>
  <c r="AL342" i="13" s="1"/>
  <c r="AK341" i="13"/>
  <c r="AK340" i="13"/>
  <c r="AK339" i="13"/>
  <c r="K337" i="13"/>
  <c r="AL337" i="13" s="1"/>
  <c r="AK336" i="13"/>
  <c r="AK335" i="13"/>
  <c r="AK333" i="13"/>
  <c r="K332" i="13"/>
  <c r="AL332" i="13" s="1"/>
  <c r="K331" i="13"/>
  <c r="AL331" i="13" s="1"/>
  <c r="AK330" i="13"/>
  <c r="AK328" i="13"/>
  <c r="AK327" i="13"/>
  <c r="AK323" i="13"/>
  <c r="AK322" i="13"/>
  <c r="AK30" i="13"/>
  <c r="AK320" i="13"/>
  <c r="AK316" i="13"/>
  <c r="K315" i="13"/>
  <c r="AL315" i="13" s="1"/>
  <c r="AK313" i="13"/>
  <c r="AK312" i="13"/>
  <c r="AK309" i="13"/>
  <c r="AK308" i="13"/>
  <c r="AK307" i="13"/>
  <c r="K306" i="13"/>
  <c r="AK305" i="13"/>
  <c r="AK304" i="13"/>
  <c r="AK303" i="13"/>
  <c r="K301" i="13"/>
  <c r="AK301" i="13" s="1"/>
  <c r="AK300" i="13"/>
  <c r="AK297" i="13"/>
  <c r="AK296" i="13"/>
  <c r="AK24" i="13"/>
  <c r="AK294" i="13"/>
  <c r="AK293" i="13"/>
  <c r="AK292" i="13"/>
  <c r="K291" i="13"/>
  <c r="AK290" i="13"/>
  <c r="AK289" i="13"/>
  <c r="AK36" i="13"/>
  <c r="AK288" i="13"/>
  <c r="AK287" i="13"/>
  <c r="K286" i="13"/>
  <c r="AK285" i="13"/>
  <c r="AK284" i="13"/>
  <c r="AK283" i="13"/>
  <c r="AK279" i="13"/>
  <c r="AK278" i="13"/>
  <c r="AK276" i="13"/>
  <c r="AK275" i="13"/>
  <c r="AK274" i="13"/>
  <c r="AK273" i="13"/>
  <c r="AK272" i="13"/>
  <c r="AK271" i="13"/>
  <c r="AK270" i="13"/>
  <c r="AK269" i="13"/>
  <c r="AK267" i="13"/>
  <c r="AK264" i="13"/>
  <c r="AK263" i="13"/>
  <c r="AK261" i="13"/>
  <c r="AK258" i="13"/>
  <c r="AK254" i="13"/>
  <c r="AK252" i="13"/>
  <c r="AK251" i="13"/>
  <c r="AK250" i="13"/>
  <c r="AK249" i="13"/>
  <c r="AK248" i="13"/>
  <c r="AK246" i="13"/>
  <c r="AK244" i="13"/>
  <c r="AK241" i="13"/>
  <c r="AK240" i="13"/>
  <c r="AK238" i="13"/>
  <c r="AK236" i="13"/>
  <c r="AK235" i="13"/>
  <c r="AK233" i="13"/>
  <c r="AK232" i="13"/>
  <c r="AK230" i="13"/>
  <c r="AK229" i="13"/>
  <c r="AK227" i="13"/>
  <c r="AK226" i="13"/>
  <c r="AK225" i="13"/>
  <c r="AK224" i="13"/>
  <c r="AK48" i="13"/>
  <c r="AK219" i="13"/>
  <c r="AK218" i="13"/>
  <c r="AK215" i="13"/>
  <c r="K213" i="13"/>
  <c r="AK211" i="13"/>
  <c r="AK209" i="13"/>
  <c r="AK208" i="13"/>
  <c r="AK204" i="13"/>
  <c r="AK203" i="13"/>
  <c r="AK201" i="13"/>
  <c r="AK200" i="13"/>
  <c r="AK199" i="13"/>
  <c r="AK196" i="13"/>
  <c r="AK195" i="13"/>
  <c r="AK194" i="13"/>
  <c r="AK193" i="13"/>
  <c r="AK192" i="13"/>
  <c r="AK191" i="13"/>
  <c r="AK190" i="13"/>
  <c r="AK188" i="13"/>
  <c r="AK187" i="13"/>
  <c r="AK186" i="13"/>
  <c r="AK185" i="13"/>
  <c r="K184" i="13"/>
  <c r="AK182" i="13"/>
  <c r="AK181" i="13"/>
  <c r="AK180" i="13"/>
  <c r="AK179" i="13"/>
  <c r="AK178" i="13"/>
  <c r="AK46" i="13"/>
  <c r="AK177" i="13"/>
  <c r="AK176" i="13"/>
  <c r="AK175" i="13"/>
  <c r="AK174" i="13"/>
  <c r="AK171" i="13"/>
  <c r="AK170" i="13"/>
  <c r="K169" i="13"/>
  <c r="AK168" i="13"/>
  <c r="K166" i="13"/>
  <c r="AK166" i="13" s="1"/>
  <c r="AK165" i="13"/>
  <c r="AK164" i="13"/>
  <c r="K163" i="13"/>
  <c r="AK163" i="13" s="1"/>
  <c r="AK162" i="13"/>
  <c r="AK161" i="13"/>
  <c r="AK159" i="13"/>
  <c r="AK158" i="13"/>
  <c r="AK157" i="13"/>
  <c r="K155" i="13"/>
  <c r="AK155" i="13" s="1"/>
  <c r="K154" i="13"/>
  <c r="AK154" i="13" s="1"/>
  <c r="AK152" i="13"/>
  <c r="AK151" i="13"/>
  <c r="AK150" i="13"/>
  <c r="K149" i="13"/>
  <c r="AK148" i="13"/>
  <c r="AK147" i="13"/>
  <c r="AK146" i="13"/>
  <c r="AK144" i="13"/>
  <c r="AK141" i="13"/>
  <c r="AK140" i="13"/>
  <c r="AK136" i="13"/>
  <c r="AK135" i="13"/>
  <c r="AK134" i="13"/>
  <c r="AK132" i="13"/>
  <c r="AK131" i="13"/>
  <c r="AK130" i="13"/>
  <c r="AK129" i="13"/>
  <c r="AK128" i="13"/>
  <c r="AK126" i="13"/>
  <c r="AK125" i="13"/>
  <c r="K123" i="13"/>
  <c r="AK120" i="13"/>
  <c r="AK119" i="13"/>
  <c r="AK118" i="13"/>
  <c r="AK117" i="13"/>
  <c r="AK113" i="13"/>
  <c r="AK16" i="13"/>
  <c r="AK15" i="13"/>
  <c r="AK107" i="13"/>
  <c r="AK105" i="13"/>
  <c r="AK104" i="13"/>
  <c r="K103" i="13"/>
  <c r="AK102" i="13"/>
  <c r="AK101" i="13"/>
  <c r="AK100" i="13"/>
  <c r="AK99" i="13"/>
  <c r="K96" i="13"/>
  <c r="AK94" i="13"/>
  <c r="AK92" i="13"/>
  <c r="AK91" i="13"/>
  <c r="AK90" i="13"/>
  <c r="AK89" i="13"/>
  <c r="AK88" i="13"/>
  <c r="AK87" i="13"/>
  <c r="AK84" i="13"/>
  <c r="AK83" i="13"/>
  <c r="AK81" i="13"/>
  <c r="AK79" i="13"/>
  <c r="AK78" i="13"/>
  <c r="K75" i="13"/>
  <c r="AK74" i="13"/>
  <c r="AK73" i="13"/>
  <c r="AK72" i="13"/>
  <c r="AK70" i="13"/>
  <c r="AK69" i="13"/>
  <c r="AK68" i="13"/>
  <c r="AK67" i="13"/>
  <c r="K66" i="13"/>
  <c r="AK66" i="13" s="1"/>
  <c r="AK64" i="13"/>
  <c r="AK63" i="13"/>
  <c r="AK62" i="13"/>
  <c r="AK61" i="13"/>
  <c r="AL441" i="13"/>
  <c r="AL440" i="13"/>
  <c r="AL439" i="13"/>
  <c r="AL438" i="13"/>
  <c r="AL86" i="13"/>
  <c r="AL295" i="13"/>
  <c r="AL433" i="13"/>
  <c r="AL127" i="13"/>
  <c r="AL344" i="13"/>
  <c r="AL259" i="13"/>
  <c r="AL412" i="13"/>
  <c r="AL98" i="13"/>
  <c r="AL428" i="13"/>
  <c r="AL202" i="13"/>
  <c r="AL386" i="13"/>
  <c r="AL266" i="13"/>
  <c r="AL243" i="13"/>
  <c r="AL255" i="13"/>
  <c r="AL346" i="13"/>
  <c r="AL80" i="13"/>
  <c r="AL299" i="13"/>
  <c r="AL205" i="13"/>
  <c r="AL376" i="13"/>
  <c r="AL167" i="13"/>
  <c r="AL373" i="13"/>
  <c r="AL160" i="13"/>
  <c r="AL265" i="13"/>
  <c r="AL173" i="13"/>
  <c r="AL221" i="13"/>
  <c r="AL381" i="13"/>
  <c r="AL222" i="13"/>
  <c r="AL97" i="13"/>
  <c r="AL156" i="13"/>
  <c r="AL407" i="13"/>
  <c r="AL429" i="13"/>
  <c r="AL111" i="13"/>
  <c r="AL371" i="13"/>
  <c r="AL318" i="13"/>
  <c r="AL106" i="13"/>
  <c r="AL262" i="13"/>
  <c r="AL326" i="13"/>
  <c r="AL216" i="13"/>
  <c r="AL234" i="13"/>
  <c r="AL282" i="13"/>
  <c r="AL110" i="13"/>
  <c r="AL310" i="13"/>
  <c r="AL245" i="13"/>
  <c r="AL121" i="13"/>
  <c r="AL402" i="13"/>
  <c r="AL317" i="13"/>
  <c r="AL189" i="13"/>
  <c r="AL349" i="13"/>
  <c r="AL247" i="13"/>
  <c r="AL311" i="13"/>
  <c r="AL319" i="13"/>
  <c r="AL389" i="13"/>
  <c r="AL298" i="13"/>
  <c r="AL212" i="13"/>
  <c r="AL65" i="13"/>
  <c r="AL231" i="13"/>
  <c r="AL122" i="13"/>
  <c r="AL356" i="13"/>
  <c r="AL280" i="13"/>
  <c r="AL153" i="13"/>
  <c r="AL385" i="13"/>
  <c r="AL172" i="13"/>
  <c r="AL353" i="13"/>
  <c r="AL260" i="13"/>
  <c r="AL354" i="13"/>
  <c r="AL239" i="13"/>
  <c r="AL325" i="13"/>
  <c r="AL115" i="13"/>
  <c r="AL314" i="13"/>
  <c r="AL329" i="13"/>
  <c r="AL206" i="13"/>
  <c r="AL435" i="13"/>
  <c r="AL434" i="13"/>
  <c r="AL432" i="13"/>
  <c r="AL430" i="13"/>
  <c r="AL427" i="13"/>
  <c r="AL426" i="13"/>
  <c r="AL425" i="13"/>
  <c r="AL424" i="13"/>
  <c r="AL423" i="13"/>
  <c r="AL422" i="13"/>
  <c r="AL421" i="13"/>
  <c r="AL420" i="13"/>
  <c r="AL419" i="13"/>
  <c r="AL417" i="13"/>
  <c r="AL416" i="13"/>
  <c r="AL415" i="13"/>
  <c r="AL414" i="13"/>
  <c r="L413" i="13"/>
  <c r="AL411" i="13"/>
  <c r="AL410" i="13"/>
  <c r="AL409" i="13"/>
  <c r="AL408" i="13"/>
  <c r="AL10" i="13"/>
  <c r="AL54" i="13"/>
  <c r="AL405" i="13"/>
  <c r="AL53" i="13"/>
  <c r="AL403" i="13"/>
  <c r="AL401" i="13"/>
  <c r="AL400" i="13"/>
  <c r="AL399" i="13"/>
  <c r="AL398" i="13"/>
  <c r="AL397" i="13"/>
  <c r="AL396" i="13"/>
  <c r="AL395" i="13"/>
  <c r="AL394" i="13"/>
  <c r="AL392" i="13"/>
  <c r="AL391" i="13"/>
  <c r="AL390" i="13"/>
  <c r="AL388" i="13"/>
  <c r="AL387" i="13"/>
  <c r="AL384" i="13"/>
  <c r="AL383" i="13"/>
  <c r="AL382" i="13"/>
  <c r="AL380" i="13"/>
  <c r="AL379" i="13"/>
  <c r="AL378" i="13"/>
  <c r="AL51" i="13"/>
  <c r="AL375" i="13"/>
  <c r="L374" i="13"/>
  <c r="AL374" i="13" s="1"/>
  <c r="AL372" i="13"/>
  <c r="AL370" i="13"/>
  <c r="AL368" i="13"/>
  <c r="AL366" i="13"/>
  <c r="AL364" i="13"/>
  <c r="AL50" i="13"/>
  <c r="AL361" i="13"/>
  <c r="AL360" i="13"/>
  <c r="AL358" i="13"/>
  <c r="AL357" i="13"/>
  <c r="AL352" i="13"/>
  <c r="AL350" i="13"/>
  <c r="AL28" i="13"/>
  <c r="AL348" i="13"/>
  <c r="AL347" i="13"/>
  <c r="AL343" i="13"/>
  <c r="AL341" i="13"/>
  <c r="AL340" i="13"/>
  <c r="AL339" i="13"/>
  <c r="AL336" i="13"/>
  <c r="AL335" i="13"/>
  <c r="AL333" i="13"/>
  <c r="AL330" i="13"/>
  <c r="AL328" i="13"/>
  <c r="AL327" i="13"/>
  <c r="AL323" i="13"/>
  <c r="AL322" i="13"/>
  <c r="AL30" i="13"/>
  <c r="AL320" i="13"/>
  <c r="AL316" i="13"/>
  <c r="AL313" i="13"/>
  <c r="AL312" i="13"/>
  <c r="AL309" i="13"/>
  <c r="AL308" i="13"/>
  <c r="AL307" i="13"/>
  <c r="L306" i="13"/>
  <c r="AL305" i="13"/>
  <c r="AL304" i="13"/>
  <c r="AL303" i="13"/>
  <c r="L301" i="13"/>
  <c r="AL300" i="13"/>
  <c r="AL297" i="13"/>
  <c r="AL296" i="13"/>
  <c r="AL24" i="13"/>
  <c r="AL294" i="13"/>
  <c r="AL293" i="13"/>
  <c r="AL292" i="13"/>
  <c r="AL290" i="13"/>
  <c r="AL289" i="13"/>
  <c r="AL36" i="13"/>
  <c r="AL288" i="13"/>
  <c r="AL287" i="13"/>
  <c r="L286" i="13"/>
  <c r="AL285" i="13"/>
  <c r="AL284" i="13"/>
  <c r="AL283" i="13"/>
  <c r="AL279" i="13"/>
  <c r="AL278" i="13"/>
  <c r="AL276" i="13"/>
  <c r="AL275" i="13"/>
  <c r="AL274" i="13"/>
  <c r="AL273" i="13"/>
  <c r="AL272" i="13"/>
  <c r="AL271" i="13"/>
  <c r="AL270" i="13"/>
  <c r="AL269" i="13"/>
  <c r="AL267" i="13"/>
  <c r="AL264" i="13"/>
  <c r="AL263" i="13"/>
  <c r="AL261" i="13"/>
  <c r="AL258" i="13"/>
  <c r="AL254" i="13"/>
  <c r="AL252" i="13"/>
  <c r="AL251" i="13"/>
  <c r="AL250" i="13"/>
  <c r="AL249" i="13"/>
  <c r="AL248" i="13"/>
  <c r="AL246" i="13"/>
  <c r="AL244" i="13"/>
  <c r="AL241" i="13"/>
  <c r="AL240" i="13"/>
  <c r="AL238" i="13"/>
  <c r="AL236" i="13"/>
  <c r="AL235" i="13"/>
  <c r="AL233" i="13"/>
  <c r="AL232" i="13"/>
  <c r="AL230" i="13"/>
  <c r="AL229" i="13"/>
  <c r="AL228" i="13"/>
  <c r="AL227" i="13"/>
  <c r="AL226" i="13"/>
  <c r="AL225" i="13"/>
  <c r="AL224" i="13"/>
  <c r="AL48" i="13"/>
  <c r="AL219" i="13"/>
  <c r="AL218" i="13"/>
  <c r="AL215" i="13"/>
  <c r="L213" i="13"/>
  <c r="AL211" i="13"/>
  <c r="AL209" i="13"/>
  <c r="AL208" i="13"/>
  <c r="AL204" i="13"/>
  <c r="AL203" i="13"/>
  <c r="AL201" i="13"/>
  <c r="AL200" i="13"/>
  <c r="AL199" i="13"/>
  <c r="AL197" i="13"/>
  <c r="AL196" i="13"/>
  <c r="AL195" i="13"/>
  <c r="L194" i="13"/>
  <c r="AL194" i="13" s="1"/>
  <c r="AL193" i="13"/>
  <c r="AL192" i="13"/>
  <c r="AL191" i="13"/>
  <c r="AL190" i="13"/>
  <c r="AL188" i="13"/>
  <c r="AL187" i="13"/>
  <c r="AL186" i="13"/>
  <c r="AL185" i="13"/>
  <c r="L184" i="13"/>
  <c r="AL182" i="13"/>
  <c r="AL181" i="13"/>
  <c r="AL180" i="13"/>
  <c r="AL179" i="13"/>
  <c r="AL178" i="13"/>
  <c r="AL46" i="13"/>
  <c r="AL177" i="13"/>
  <c r="L176" i="13"/>
  <c r="AM176" i="13" s="1"/>
  <c r="AL175" i="13"/>
  <c r="AL174" i="13"/>
  <c r="AL171" i="13"/>
  <c r="AL170" i="13"/>
  <c r="L169" i="13"/>
  <c r="AL168" i="13"/>
  <c r="L166" i="13"/>
  <c r="AM166" i="13" s="1"/>
  <c r="AL165" i="13"/>
  <c r="AL164" i="13"/>
  <c r="L163" i="13"/>
  <c r="AL162" i="13"/>
  <c r="AL161" i="13"/>
  <c r="AL159" i="13"/>
  <c r="AL158" i="13"/>
  <c r="AL157" i="13"/>
  <c r="L154" i="13"/>
  <c r="AL152" i="13"/>
  <c r="AL151" i="13"/>
  <c r="AL150" i="13"/>
  <c r="L149" i="13"/>
  <c r="AM149" i="13" s="1"/>
  <c r="AL148" i="13"/>
  <c r="AL147" i="13"/>
  <c r="AL146" i="13"/>
  <c r="AL144" i="13"/>
  <c r="AL141" i="13"/>
  <c r="AL140" i="13"/>
  <c r="AL136" i="13"/>
  <c r="AL135" i="13"/>
  <c r="AL134" i="13"/>
  <c r="AL132" i="13"/>
  <c r="AL131" i="13"/>
  <c r="AL130" i="13"/>
  <c r="AL129" i="13"/>
  <c r="AL128" i="13"/>
  <c r="AL126" i="13"/>
  <c r="AL125" i="13"/>
  <c r="L123" i="13"/>
  <c r="AM123" i="13" s="1"/>
  <c r="AL120" i="13"/>
  <c r="AL119" i="13"/>
  <c r="AL118" i="13"/>
  <c r="AL117" i="13"/>
  <c r="AL113" i="13"/>
  <c r="AL16" i="13"/>
  <c r="AL15" i="13"/>
  <c r="AL107" i="13"/>
  <c r="AL105" i="13"/>
  <c r="AL104" i="13"/>
  <c r="L103" i="13"/>
  <c r="AL102" i="13"/>
  <c r="AL101" i="13"/>
  <c r="AL100" i="13"/>
  <c r="L99" i="13"/>
  <c r="AL99" i="13" s="1"/>
  <c r="L96" i="13"/>
  <c r="AM96" i="13" s="1"/>
  <c r="AL94" i="13"/>
  <c r="AL92" i="13"/>
  <c r="AL91" i="13"/>
  <c r="AL90" i="13"/>
  <c r="AL89" i="13"/>
  <c r="AL88" i="13"/>
  <c r="L87" i="13"/>
  <c r="AL87" i="13" s="1"/>
  <c r="AL84" i="13"/>
  <c r="AL83" i="13"/>
  <c r="AL81" i="13"/>
  <c r="AL79" i="13"/>
  <c r="AL78" i="13"/>
  <c r="L75" i="13"/>
  <c r="AL74" i="13"/>
  <c r="AL73" i="13"/>
  <c r="AL72" i="13"/>
  <c r="AL71" i="13"/>
  <c r="L70" i="13"/>
  <c r="AL70" i="13" s="1"/>
  <c r="AL69" i="13"/>
  <c r="AL68" i="13"/>
  <c r="AL67" i="13"/>
  <c r="L66" i="13"/>
  <c r="AL64" i="13"/>
  <c r="AL63" i="13"/>
  <c r="AL62" i="13"/>
  <c r="AL61" i="13"/>
  <c r="AM441" i="13"/>
  <c r="AM440" i="13"/>
  <c r="AM439" i="13"/>
  <c r="AM438" i="13"/>
  <c r="AM86" i="13"/>
  <c r="AM295" i="13"/>
  <c r="AM433" i="13"/>
  <c r="AM127" i="13"/>
  <c r="AM344" i="13"/>
  <c r="AM259" i="13"/>
  <c r="AM412" i="13"/>
  <c r="AM98" i="13"/>
  <c r="AM428" i="13"/>
  <c r="AM202" i="13"/>
  <c r="AM386" i="13"/>
  <c r="AM266" i="13"/>
  <c r="AM243" i="13"/>
  <c r="AM255" i="13"/>
  <c r="AM346" i="13"/>
  <c r="AM80" i="13"/>
  <c r="AM299" i="13"/>
  <c r="AM205" i="13"/>
  <c r="AM376" i="13"/>
  <c r="AM167" i="13"/>
  <c r="AM373" i="13"/>
  <c r="AM160" i="13"/>
  <c r="AM265" i="13"/>
  <c r="AM173" i="13"/>
  <c r="AM221" i="13"/>
  <c r="AM381" i="13"/>
  <c r="AM222" i="13"/>
  <c r="AM97" i="13"/>
  <c r="AM156" i="13"/>
  <c r="AM407" i="13"/>
  <c r="AM429" i="13"/>
  <c r="AM111" i="13"/>
  <c r="AM371" i="13"/>
  <c r="AM318" i="13"/>
  <c r="AM106" i="13"/>
  <c r="AM262" i="13"/>
  <c r="AM326" i="13"/>
  <c r="AM216" i="13"/>
  <c r="AM234" i="13"/>
  <c r="AM282" i="13"/>
  <c r="AM110" i="13"/>
  <c r="AM310" i="13"/>
  <c r="AM245" i="13"/>
  <c r="AM121" i="13"/>
  <c r="AM402" i="13"/>
  <c r="AM317" i="13"/>
  <c r="AM189" i="13"/>
  <c r="AM349" i="13"/>
  <c r="AM247" i="13"/>
  <c r="AM311" i="13"/>
  <c r="AM319" i="13"/>
  <c r="AM389" i="13"/>
  <c r="AM298" i="13"/>
  <c r="AM212" i="13"/>
  <c r="AM65" i="13"/>
  <c r="AM231" i="13"/>
  <c r="AM122" i="13"/>
  <c r="AM356" i="13"/>
  <c r="AM280" i="13"/>
  <c r="AM153" i="13"/>
  <c r="AM385" i="13"/>
  <c r="AM172" i="13"/>
  <c r="AM353" i="13"/>
  <c r="AM260" i="13"/>
  <c r="AM354" i="13"/>
  <c r="AM239" i="13"/>
  <c r="AM325" i="13"/>
  <c r="AM115" i="13"/>
  <c r="AM314" i="13"/>
  <c r="AM329" i="13"/>
  <c r="AM206" i="13"/>
  <c r="AM435" i="13"/>
  <c r="AM434" i="13"/>
  <c r="AM432" i="13"/>
  <c r="AM430" i="13"/>
  <c r="AM427" i="13"/>
  <c r="AM426" i="13"/>
  <c r="M425" i="13"/>
  <c r="AM425" i="13" s="1"/>
  <c r="AM424" i="13"/>
  <c r="AM423" i="13"/>
  <c r="M422" i="13"/>
  <c r="AM422" i="13" s="1"/>
  <c r="AM421" i="13"/>
  <c r="AM420" i="13"/>
  <c r="AM419" i="13"/>
  <c r="AM417" i="13"/>
  <c r="AM416" i="13"/>
  <c r="AM415" i="13"/>
  <c r="AM414" i="13"/>
  <c r="M411" i="13"/>
  <c r="AM411" i="13" s="1"/>
  <c r="M410" i="13"/>
  <c r="AM409" i="13"/>
  <c r="AM408" i="13"/>
  <c r="AM10" i="13"/>
  <c r="AM54" i="13"/>
  <c r="AM405" i="13"/>
  <c r="AM53" i="13"/>
  <c r="M403" i="13"/>
  <c r="AM403" i="13" s="1"/>
  <c r="M401" i="13"/>
  <c r="AM400" i="13"/>
  <c r="AM399" i="13"/>
  <c r="AM398" i="13"/>
  <c r="AM397" i="13"/>
  <c r="AM396" i="13"/>
  <c r="AM395" i="13"/>
  <c r="AM394" i="13"/>
  <c r="AM392" i="13"/>
  <c r="AM391" i="13"/>
  <c r="AM390" i="13"/>
  <c r="AM388" i="13"/>
  <c r="AM387" i="13"/>
  <c r="AM384" i="13"/>
  <c r="AM383" i="13"/>
  <c r="AM382" i="13"/>
  <c r="AM380" i="13"/>
  <c r="AM379" i="13"/>
  <c r="AM378" i="13"/>
  <c r="AM51" i="13"/>
  <c r="AM375" i="13"/>
  <c r="AM372" i="13"/>
  <c r="AM370" i="13"/>
  <c r="AM368" i="13"/>
  <c r="AM366" i="13"/>
  <c r="AM364" i="13"/>
  <c r="AM50" i="13"/>
  <c r="AM361" i="13"/>
  <c r="AM360" i="13"/>
  <c r="AM358" i="13"/>
  <c r="AM357" i="13"/>
  <c r="AM352" i="13"/>
  <c r="AM350" i="13"/>
  <c r="AM28" i="13"/>
  <c r="AM348" i="13"/>
  <c r="AM347" i="13"/>
  <c r="AM345" i="13"/>
  <c r="AM343" i="13"/>
  <c r="M342" i="13"/>
  <c r="AM342" i="13" s="1"/>
  <c r="AM341" i="13"/>
  <c r="AM340" i="13"/>
  <c r="AM339" i="13"/>
  <c r="M337" i="13"/>
  <c r="AN337" i="13" s="1"/>
  <c r="AM336" i="13"/>
  <c r="AM335" i="13"/>
  <c r="AM333" i="13"/>
  <c r="AM332" i="13"/>
  <c r="AM331" i="13"/>
  <c r="AM330" i="13"/>
  <c r="AM328" i="13"/>
  <c r="AM327" i="13"/>
  <c r="AM323" i="13"/>
  <c r="AM322" i="13"/>
  <c r="AM30" i="13"/>
  <c r="AM320" i="13"/>
  <c r="AM316" i="13"/>
  <c r="AM315" i="13"/>
  <c r="AM313" i="13"/>
  <c r="AM312" i="13"/>
  <c r="AM309" i="13"/>
  <c r="M308" i="13"/>
  <c r="AM307" i="13"/>
  <c r="AM305" i="13"/>
  <c r="M304" i="13"/>
  <c r="AM304" i="13" s="1"/>
  <c r="AM303" i="13"/>
  <c r="M301" i="13"/>
  <c r="AM300" i="13"/>
  <c r="AM297" i="13"/>
  <c r="AM296" i="13"/>
  <c r="AM24" i="13"/>
  <c r="AM294" i="13"/>
  <c r="AM293" i="13"/>
  <c r="AM292" i="13"/>
  <c r="AM291" i="13"/>
  <c r="AM290" i="13"/>
  <c r="AM289" i="13"/>
  <c r="AM36" i="13"/>
  <c r="M288" i="13"/>
  <c r="AM288" i="13" s="1"/>
  <c r="AM287" i="13"/>
  <c r="AM285" i="13"/>
  <c r="AM284" i="13"/>
  <c r="AM283" i="13"/>
  <c r="M279" i="13"/>
  <c r="AM279" i="13" s="1"/>
  <c r="AM278" i="13"/>
  <c r="AM276" i="13"/>
  <c r="AM275" i="13"/>
  <c r="AM274" i="13"/>
  <c r="AM273" i="13"/>
  <c r="AM272" i="13"/>
  <c r="AM271" i="13"/>
  <c r="AM270" i="13"/>
  <c r="AM269" i="13"/>
  <c r="AM267" i="13"/>
  <c r="AM264" i="13"/>
  <c r="AM263" i="13"/>
  <c r="AM261" i="13"/>
  <c r="AM258" i="13"/>
  <c r="M254" i="13"/>
  <c r="AM252" i="13"/>
  <c r="AM251" i="13"/>
  <c r="AM250" i="13"/>
  <c r="AM249" i="13"/>
  <c r="AM248" i="13"/>
  <c r="AM246" i="13"/>
  <c r="AM244" i="13"/>
  <c r="AM241" i="13"/>
  <c r="AM240" i="13"/>
  <c r="AM238" i="13"/>
  <c r="AM236" i="13"/>
  <c r="AM235" i="13"/>
  <c r="AM233" i="13"/>
  <c r="AM232" i="13"/>
  <c r="AM230" i="13"/>
  <c r="AM229" i="13"/>
  <c r="AM228" i="13"/>
  <c r="AM227" i="13"/>
  <c r="AM226" i="13"/>
  <c r="AM225" i="13"/>
  <c r="AM224" i="13"/>
  <c r="AM48" i="13"/>
  <c r="AM219" i="13"/>
  <c r="AM218" i="13"/>
  <c r="AM215" i="13"/>
  <c r="M213" i="13"/>
  <c r="AM211" i="13"/>
  <c r="AM209" i="13"/>
  <c r="AM208" i="13"/>
  <c r="AM204" i="13"/>
  <c r="AM203" i="13"/>
  <c r="AM201" i="13"/>
  <c r="M200" i="13"/>
  <c r="AN200" i="13" s="1"/>
  <c r="AM199" i="13"/>
  <c r="M197" i="13"/>
  <c r="AM197" i="13" s="1"/>
  <c r="AM196" i="13"/>
  <c r="AM195" i="13"/>
  <c r="M193" i="13"/>
  <c r="AN193" i="13" s="1"/>
  <c r="AM192" i="13"/>
  <c r="AM191" i="13"/>
  <c r="AM190" i="13"/>
  <c r="AM188" i="13"/>
  <c r="AM187" i="13"/>
  <c r="AM186" i="13"/>
  <c r="AM185" i="13"/>
  <c r="M184" i="13"/>
  <c r="AM182" i="13"/>
  <c r="AM181" i="13"/>
  <c r="AM180" i="13"/>
  <c r="AM179" i="13"/>
  <c r="AM178" i="13"/>
  <c r="AM46" i="13"/>
  <c r="AM177" i="13"/>
  <c r="AM175" i="13"/>
  <c r="AM174" i="13"/>
  <c r="AM171" i="13"/>
  <c r="AM170" i="13"/>
  <c r="M169" i="13"/>
  <c r="AM168" i="13"/>
  <c r="AM165" i="13"/>
  <c r="AM164" i="13"/>
  <c r="AM162" i="13"/>
  <c r="AM161" i="13"/>
  <c r="AM159" i="13"/>
  <c r="AM158" i="13"/>
  <c r="AM157" i="13"/>
  <c r="M155" i="13"/>
  <c r="M154" i="13"/>
  <c r="AM152" i="13"/>
  <c r="AM151" i="13"/>
  <c r="AM150" i="13"/>
  <c r="AM148" i="13"/>
  <c r="AM147" i="13"/>
  <c r="AM146" i="13"/>
  <c r="AM144" i="13"/>
  <c r="AM141" i="13"/>
  <c r="AM140" i="13"/>
  <c r="AM136" i="13"/>
  <c r="AM135" i="13"/>
  <c r="AM134" i="13"/>
  <c r="AM132" i="13"/>
  <c r="AM131" i="13"/>
  <c r="AM130" i="13"/>
  <c r="AM129" i="13"/>
  <c r="AM128" i="13"/>
  <c r="AM126" i="13"/>
  <c r="AM125" i="13"/>
  <c r="AM120" i="13"/>
  <c r="AM119" i="13"/>
  <c r="AM118" i="13"/>
  <c r="AM117" i="13"/>
  <c r="AM113" i="13"/>
  <c r="AM16" i="13"/>
  <c r="AM15" i="13"/>
  <c r="AM107" i="13"/>
  <c r="AM105" i="13"/>
  <c r="AM104" i="13"/>
  <c r="M103" i="13"/>
  <c r="AM102" i="13"/>
  <c r="AM101" i="13"/>
  <c r="AM100" i="13"/>
  <c r="AM94" i="13"/>
  <c r="M92" i="13"/>
  <c r="AM91" i="13"/>
  <c r="AM90" i="13"/>
  <c r="AM89" i="13"/>
  <c r="AM88" i="13"/>
  <c r="M87" i="13"/>
  <c r="AM84" i="13"/>
  <c r="AM83" i="13"/>
  <c r="M81" i="13"/>
  <c r="AM81" i="13" s="1"/>
  <c r="AM79" i="13"/>
  <c r="AM78" i="13"/>
  <c r="M75" i="13"/>
  <c r="AM74" i="13"/>
  <c r="AM73" i="13"/>
  <c r="AM72" i="13"/>
  <c r="AM71" i="13"/>
  <c r="M70" i="13"/>
  <c r="AN70" i="13" s="1"/>
  <c r="AM69" i="13"/>
  <c r="AM68" i="13"/>
  <c r="AM67" i="13"/>
  <c r="M66" i="13"/>
  <c r="AM64" i="13"/>
  <c r="AM63" i="13"/>
  <c r="AM62" i="13"/>
  <c r="AM61" i="13"/>
  <c r="AN441" i="13"/>
  <c r="AN440" i="13"/>
  <c r="AN439" i="13"/>
  <c r="AN438" i="13"/>
  <c r="AN86" i="13"/>
  <c r="AN295" i="13"/>
  <c r="AN433" i="13"/>
  <c r="AN127" i="13"/>
  <c r="AN344" i="13"/>
  <c r="AN259" i="13"/>
  <c r="AN412" i="13"/>
  <c r="AN98" i="13"/>
  <c r="AN428" i="13"/>
  <c r="AN202" i="13"/>
  <c r="AN386" i="13"/>
  <c r="AN266" i="13"/>
  <c r="AN243" i="13"/>
  <c r="AN255" i="13"/>
  <c r="AN346" i="13"/>
  <c r="AN80" i="13"/>
  <c r="AN299" i="13"/>
  <c r="AN205" i="13"/>
  <c r="AN376" i="13"/>
  <c r="AN167" i="13"/>
  <c r="AN373" i="13"/>
  <c r="AN160" i="13"/>
  <c r="AN265" i="13"/>
  <c r="AN173" i="13"/>
  <c r="AN221" i="13"/>
  <c r="AN381" i="13"/>
  <c r="AN222" i="13"/>
  <c r="AN97" i="13"/>
  <c r="AN156" i="13"/>
  <c r="AN407" i="13"/>
  <c r="AN429" i="13"/>
  <c r="AN111" i="13"/>
  <c r="AN371" i="13"/>
  <c r="AN318" i="13"/>
  <c r="AN106" i="13"/>
  <c r="AN262" i="13"/>
  <c r="AN326" i="13"/>
  <c r="AN216" i="13"/>
  <c r="AN234" i="13"/>
  <c r="AN282" i="13"/>
  <c r="AN110" i="13"/>
  <c r="AN310" i="13"/>
  <c r="AN245" i="13"/>
  <c r="AN121" i="13"/>
  <c r="AN402" i="13"/>
  <c r="AN317" i="13"/>
  <c r="AN189" i="13"/>
  <c r="AN349" i="13"/>
  <c r="AN247" i="13"/>
  <c r="AN311" i="13"/>
  <c r="AN319" i="13"/>
  <c r="AN389" i="13"/>
  <c r="AN298" i="13"/>
  <c r="AN212" i="13"/>
  <c r="AN65" i="13"/>
  <c r="AN231" i="13"/>
  <c r="AN122" i="13"/>
  <c r="AN356" i="13"/>
  <c r="AN280" i="13"/>
  <c r="AN153" i="13"/>
  <c r="AN385" i="13"/>
  <c r="AN172" i="13"/>
  <c r="AN353" i="13"/>
  <c r="AN260" i="13"/>
  <c r="AN354" i="13"/>
  <c r="AN239" i="13"/>
  <c r="AN325" i="13"/>
  <c r="AN115" i="13"/>
  <c r="AN314" i="13"/>
  <c r="AN329" i="13"/>
  <c r="AN206" i="13"/>
  <c r="AN435" i="13"/>
  <c r="AN434" i="13"/>
  <c r="AN432" i="13"/>
  <c r="AN430" i="13"/>
  <c r="AN427" i="13"/>
  <c r="AN426" i="13"/>
  <c r="AN424" i="13"/>
  <c r="AN423" i="13"/>
  <c r="N422" i="13"/>
  <c r="AO422" i="13" s="1"/>
  <c r="N421" i="13"/>
  <c r="AN420" i="13"/>
  <c r="AN419" i="13"/>
  <c r="AN417" i="13"/>
  <c r="AN416" i="13"/>
  <c r="AN415" i="13"/>
  <c r="AN414" i="13"/>
  <c r="AN413" i="13"/>
  <c r="AN409" i="13"/>
  <c r="AN408" i="13"/>
  <c r="AN10" i="13"/>
  <c r="AN54" i="13"/>
  <c r="AN405" i="13"/>
  <c r="AN53" i="13"/>
  <c r="N403" i="13"/>
  <c r="AN400" i="13"/>
  <c r="AN399" i="13"/>
  <c r="AN398" i="13"/>
  <c r="AN397" i="13"/>
  <c r="N396" i="13"/>
  <c r="AN396" i="13" s="1"/>
  <c r="AN395" i="13"/>
  <c r="AN394" i="13"/>
  <c r="AN392" i="13"/>
  <c r="AN391" i="13"/>
  <c r="AN390" i="13"/>
  <c r="AN388" i="13"/>
  <c r="AN387" i="13"/>
  <c r="AN384" i="13"/>
  <c r="AN383" i="13"/>
  <c r="AN382" i="13"/>
  <c r="AN380" i="13"/>
  <c r="AN379" i="13"/>
  <c r="AN378" i="13"/>
  <c r="AN51" i="13"/>
  <c r="AN375" i="13"/>
  <c r="AN374" i="13"/>
  <c r="AN372" i="13"/>
  <c r="AN370" i="13"/>
  <c r="AN368" i="13"/>
  <c r="AN366" i="13"/>
  <c r="AN364" i="13"/>
  <c r="AN50" i="13"/>
  <c r="AN361" i="13"/>
  <c r="AN360" i="13"/>
  <c r="AN358" i="13"/>
  <c r="AN357" i="13"/>
  <c r="AN352" i="13"/>
  <c r="AN350" i="13"/>
  <c r="AN28" i="13"/>
  <c r="AN348" i="13"/>
  <c r="AN347" i="13"/>
  <c r="AN345" i="13"/>
  <c r="AN343" i="13"/>
  <c r="AN341" i="13"/>
  <c r="AN340" i="13"/>
  <c r="AN339" i="13"/>
  <c r="AN336" i="13"/>
  <c r="AN335" i="13"/>
  <c r="AN333" i="13"/>
  <c r="AN332" i="13"/>
  <c r="AN331" i="13"/>
  <c r="AN330" i="13"/>
  <c r="AN328" i="13"/>
  <c r="AN327" i="13"/>
  <c r="N323" i="13"/>
  <c r="AN323" i="13" s="1"/>
  <c r="AN322" i="13"/>
  <c r="AN30" i="13"/>
  <c r="AN320" i="13"/>
  <c r="AN316" i="13"/>
  <c r="AN315" i="13"/>
  <c r="AN313" i="13"/>
  <c r="AN312" i="13"/>
  <c r="AN309" i="13"/>
  <c r="AN307" i="13"/>
  <c r="AN306" i="13"/>
  <c r="AN305" i="13"/>
  <c r="N304" i="13"/>
  <c r="AN303" i="13"/>
  <c r="N301" i="13"/>
  <c r="AN300" i="13"/>
  <c r="AN297" i="13"/>
  <c r="AN296" i="13"/>
  <c r="AN24" i="13"/>
  <c r="AN294" i="13"/>
  <c r="AN293" i="13"/>
  <c r="AN292" i="13"/>
  <c r="AN291" i="13"/>
  <c r="AN290" i="13"/>
  <c r="AN289" i="13"/>
  <c r="AN36" i="13"/>
  <c r="N288" i="13"/>
  <c r="AN287" i="13"/>
  <c r="AN286" i="13"/>
  <c r="N285" i="13"/>
  <c r="AN284" i="13"/>
  <c r="AN283" i="13"/>
  <c r="N279" i="13"/>
  <c r="AO279" i="13" s="1"/>
  <c r="AN278" i="13"/>
  <c r="AN276" i="13"/>
  <c r="AN275" i="13"/>
  <c r="AN274" i="13"/>
  <c r="AN273" i="13"/>
  <c r="AN272" i="13"/>
  <c r="AN271" i="13"/>
  <c r="AN270" i="13"/>
  <c r="AN269" i="13"/>
  <c r="AN267" i="13"/>
  <c r="AN264" i="13"/>
  <c r="AN263" i="13"/>
  <c r="AN261" i="13"/>
  <c r="AN258" i="13"/>
  <c r="AN252" i="13"/>
  <c r="AN251" i="13"/>
  <c r="AN250" i="13"/>
  <c r="AN249" i="13"/>
  <c r="AN248" i="13"/>
  <c r="AN246" i="13"/>
  <c r="AN244" i="13"/>
  <c r="AN241" i="13"/>
  <c r="AN240" i="13"/>
  <c r="AN238" i="13"/>
  <c r="AN236" i="13"/>
  <c r="AN235" i="13"/>
  <c r="AN233" i="13"/>
  <c r="AN232" i="13"/>
  <c r="N230" i="13"/>
  <c r="AN229" i="13"/>
  <c r="AN228" i="13"/>
  <c r="AN227" i="13"/>
  <c r="AN226" i="13"/>
  <c r="AN225" i="13"/>
  <c r="AN224" i="13"/>
  <c r="AN48" i="13"/>
  <c r="AN219" i="13"/>
  <c r="AN218" i="13"/>
  <c r="AN215" i="13"/>
  <c r="AN211" i="13"/>
  <c r="AN209" i="13"/>
  <c r="AN208" i="13"/>
  <c r="AN204" i="13"/>
  <c r="AN203" i="13"/>
  <c r="AN201" i="13"/>
  <c r="AN199" i="13"/>
  <c r="AN196" i="13"/>
  <c r="AN195" i="13"/>
  <c r="AN194" i="13"/>
  <c r="AN192" i="13"/>
  <c r="AN191" i="13"/>
  <c r="AN190" i="13"/>
  <c r="AN188" i="13"/>
  <c r="AN187" i="13"/>
  <c r="AN186" i="13"/>
  <c r="AN185" i="13"/>
  <c r="N184" i="13"/>
  <c r="AN182" i="13"/>
  <c r="AN181" i="13"/>
  <c r="AN180" i="13"/>
  <c r="AN179" i="13"/>
  <c r="AN178" i="13"/>
  <c r="AN46" i="13"/>
  <c r="AN177" i="13"/>
  <c r="AN176" i="13"/>
  <c r="AN175" i="13"/>
  <c r="AN174" i="13"/>
  <c r="AN171" i="13"/>
  <c r="N170" i="13"/>
  <c r="N169" i="13"/>
  <c r="AN168" i="13"/>
  <c r="AN166" i="13"/>
  <c r="AN165" i="13"/>
  <c r="AN164" i="13"/>
  <c r="AN163" i="13"/>
  <c r="AN162" i="13"/>
  <c r="AN161" i="13"/>
  <c r="AN159" i="13"/>
  <c r="AN158" i="13"/>
  <c r="AN157" i="13"/>
  <c r="N154" i="13"/>
  <c r="AN152" i="13"/>
  <c r="AN151" i="13"/>
  <c r="AN150" i="13"/>
  <c r="AN149" i="13"/>
  <c r="AN148" i="13"/>
  <c r="AN147" i="13"/>
  <c r="AN146" i="13"/>
  <c r="AN144" i="13"/>
  <c r="AN141" i="13"/>
  <c r="AN140" i="13"/>
  <c r="AN136" i="13"/>
  <c r="N135" i="13"/>
  <c r="AN134" i="13"/>
  <c r="AN132" i="13"/>
  <c r="AN131" i="13"/>
  <c r="AN130" i="13"/>
  <c r="AN129" i="13"/>
  <c r="AN128" i="13"/>
  <c r="AN126" i="13"/>
  <c r="AN125" i="13"/>
  <c r="AN123" i="13"/>
  <c r="AN120" i="13"/>
  <c r="AN119" i="13"/>
  <c r="AN118" i="13"/>
  <c r="AN117" i="13"/>
  <c r="AN113" i="13"/>
  <c r="AN16" i="13"/>
  <c r="AN15" i="13"/>
  <c r="AN107" i="13"/>
  <c r="AN105" i="13"/>
  <c r="AN104" i="13"/>
  <c r="N103" i="13"/>
  <c r="AN102" i="13"/>
  <c r="AN101" i="13"/>
  <c r="AN100" i="13"/>
  <c r="AN99" i="13"/>
  <c r="AN96" i="13"/>
  <c r="AN94" i="13"/>
  <c r="AN91" i="13"/>
  <c r="AN90" i="13"/>
  <c r="N89" i="13"/>
  <c r="AN88" i="13"/>
  <c r="AN84" i="13"/>
  <c r="AN83" i="13"/>
  <c r="N81" i="13"/>
  <c r="AO81" i="13" s="1"/>
  <c r="AN79" i="13"/>
  <c r="AN78" i="13"/>
  <c r="AN74" i="13"/>
  <c r="AN73" i="13"/>
  <c r="AN72" i="13"/>
  <c r="AN71" i="13"/>
  <c r="AN69" i="13"/>
  <c r="AN68" i="13"/>
  <c r="AN67" i="13"/>
  <c r="N66" i="13"/>
  <c r="AN64" i="13"/>
  <c r="AN63" i="13"/>
  <c r="AN62" i="13"/>
  <c r="AN61" i="13"/>
  <c r="AO441" i="13"/>
  <c r="AO440" i="13"/>
  <c r="AO439" i="13"/>
  <c r="AO438" i="13"/>
  <c r="AO86" i="13"/>
  <c r="AO295" i="13"/>
  <c r="AO433" i="13"/>
  <c r="AO127" i="13"/>
  <c r="AO344" i="13"/>
  <c r="AO259" i="13"/>
  <c r="AO412" i="13"/>
  <c r="AO98" i="13"/>
  <c r="AO428" i="13"/>
  <c r="AO202" i="13"/>
  <c r="AO386" i="13"/>
  <c r="AO266" i="13"/>
  <c r="AO243" i="13"/>
  <c r="AO255" i="13"/>
  <c r="AO346" i="13"/>
  <c r="AO80" i="13"/>
  <c r="AO299" i="13"/>
  <c r="AO205" i="13"/>
  <c r="AO376" i="13"/>
  <c r="AO167" i="13"/>
  <c r="AO373" i="13"/>
  <c r="AO160" i="13"/>
  <c r="AO265" i="13"/>
  <c r="AO173" i="13"/>
  <c r="AO221" i="13"/>
  <c r="AO381" i="13"/>
  <c r="AO222" i="13"/>
  <c r="AO97" i="13"/>
  <c r="AO156" i="13"/>
  <c r="AO407" i="13"/>
  <c r="AO429" i="13"/>
  <c r="AO111" i="13"/>
  <c r="AO371" i="13"/>
  <c r="AO318" i="13"/>
  <c r="AO106" i="13"/>
  <c r="AO262" i="13"/>
  <c r="AO326" i="13"/>
  <c r="AO216" i="13"/>
  <c r="AO234" i="13"/>
  <c r="AO282" i="13"/>
  <c r="AO110" i="13"/>
  <c r="AO310" i="13"/>
  <c r="AO245" i="13"/>
  <c r="AO121" i="13"/>
  <c r="AO402" i="13"/>
  <c r="AO317" i="13"/>
  <c r="AO189" i="13"/>
  <c r="AO349" i="13"/>
  <c r="AO247" i="13"/>
  <c r="AO311" i="13"/>
  <c r="AO319" i="13"/>
  <c r="AO389" i="13"/>
  <c r="AO298" i="13"/>
  <c r="AO212" i="13"/>
  <c r="AO65" i="13"/>
  <c r="AO231" i="13"/>
  <c r="AO122" i="13"/>
  <c r="AO356" i="13"/>
  <c r="AO280" i="13"/>
  <c r="AO153" i="13"/>
  <c r="AO385" i="13"/>
  <c r="AO172" i="13"/>
  <c r="AO353" i="13"/>
  <c r="AO260" i="13"/>
  <c r="AO354" i="13"/>
  <c r="AO239" i="13"/>
  <c r="AO325" i="13"/>
  <c r="AO115" i="13"/>
  <c r="AO314" i="13"/>
  <c r="AO329" i="13"/>
  <c r="AO206" i="13"/>
  <c r="AO435" i="13"/>
  <c r="AO434" i="13"/>
  <c r="AO432" i="13"/>
  <c r="O430" i="13"/>
  <c r="AO427" i="13"/>
  <c r="AO426" i="13"/>
  <c r="AO425" i="13"/>
  <c r="AO424" i="13"/>
  <c r="AO423" i="13"/>
  <c r="O421" i="13"/>
  <c r="AP421" i="13" s="1"/>
  <c r="AO420" i="13"/>
  <c r="AO419" i="13"/>
  <c r="AO417" i="13"/>
  <c r="AO416" i="13"/>
  <c r="AO415" i="13"/>
  <c r="AO414" i="13"/>
  <c r="AO413" i="13"/>
  <c r="AO411" i="13"/>
  <c r="AO410" i="13"/>
  <c r="AO409" i="13"/>
  <c r="AO408" i="13"/>
  <c r="AO10" i="13"/>
  <c r="AO405" i="13"/>
  <c r="AO53" i="13"/>
  <c r="O403" i="13"/>
  <c r="AP403" i="13" s="1"/>
  <c r="AO401" i="13"/>
  <c r="AO400" i="13"/>
  <c r="AO399" i="13"/>
  <c r="AO398" i="13"/>
  <c r="AO397" i="13"/>
  <c r="O396" i="13"/>
  <c r="AP396" i="13" s="1"/>
  <c r="AO395" i="13"/>
  <c r="AO394" i="13"/>
  <c r="AO392" i="13"/>
  <c r="AO391" i="13"/>
  <c r="AO390" i="13"/>
  <c r="AO388" i="13"/>
  <c r="AO387" i="13"/>
  <c r="AO384" i="13"/>
  <c r="AO383" i="13"/>
  <c r="AO382" i="13"/>
  <c r="AO380" i="13"/>
  <c r="AO379" i="13"/>
  <c r="AO378" i="13"/>
  <c r="AO51" i="13"/>
  <c r="AO375" i="13"/>
  <c r="AO374" i="13"/>
  <c r="AO372" i="13"/>
  <c r="AO370" i="13"/>
  <c r="AO368" i="13"/>
  <c r="AO366" i="13"/>
  <c r="AO364" i="13"/>
  <c r="AO50" i="13"/>
  <c r="AO361" i="13"/>
  <c r="AO360" i="13"/>
  <c r="AO358" i="13"/>
  <c r="AO357" i="13"/>
  <c r="AO352" i="13"/>
  <c r="AO350" i="13"/>
  <c r="AO28" i="13"/>
  <c r="AO348" i="13"/>
  <c r="AO347" i="13"/>
  <c r="AO345" i="13"/>
  <c r="AO343" i="13"/>
  <c r="O342" i="13"/>
  <c r="AO342" i="13" s="1"/>
  <c r="O341" i="13"/>
  <c r="AP341" i="13" s="1"/>
  <c r="AO340" i="13"/>
  <c r="AO339" i="13"/>
  <c r="AO337" i="13"/>
  <c r="AO336" i="13"/>
  <c r="O335" i="13"/>
  <c r="AP335" i="13" s="1"/>
  <c r="AO333" i="13"/>
  <c r="AO332" i="13"/>
  <c r="AO331" i="13"/>
  <c r="AO330" i="13"/>
  <c r="AO328" i="13"/>
  <c r="AO327" i="13"/>
  <c r="O323" i="13"/>
  <c r="AO322" i="13"/>
  <c r="AO30" i="13"/>
  <c r="AO320" i="13"/>
  <c r="AO316" i="13"/>
  <c r="AO315" i="13"/>
  <c r="AO313" i="13"/>
  <c r="AO312" i="13"/>
  <c r="O309" i="13"/>
  <c r="AO309" i="13" s="1"/>
  <c r="AO308" i="13"/>
  <c r="AO307" i="13"/>
  <c r="AO306" i="13"/>
  <c r="AO305" i="13"/>
  <c r="AO303" i="13"/>
  <c r="O301" i="13"/>
  <c r="AO300" i="13"/>
  <c r="AO297" i="13"/>
  <c r="AO296" i="13"/>
  <c r="AO24" i="13"/>
  <c r="AO294" i="13"/>
  <c r="AO293" i="13"/>
  <c r="AO292" i="13"/>
  <c r="AO291" i="13"/>
  <c r="AO290" i="13"/>
  <c r="AO289" i="13"/>
  <c r="AO36" i="13"/>
  <c r="O288" i="13"/>
  <c r="AP288" i="13" s="1"/>
  <c r="AO287" i="13"/>
  <c r="AO286" i="13"/>
  <c r="AO284" i="13"/>
  <c r="AO283" i="13"/>
  <c r="AO278" i="13"/>
  <c r="AO276" i="13"/>
  <c r="AO275" i="13"/>
  <c r="AO274" i="13"/>
  <c r="AO273" i="13"/>
  <c r="AO272" i="13"/>
  <c r="AO271" i="13"/>
  <c r="AO270" i="13"/>
  <c r="AO269" i="13"/>
  <c r="AO267" i="13"/>
  <c r="AO264" i="13"/>
  <c r="AO263" i="13"/>
  <c r="AO261" i="13"/>
  <c r="AO258" i="13"/>
  <c r="AO254" i="13"/>
  <c r="AO252" i="13"/>
  <c r="AO251" i="13"/>
  <c r="AO250" i="13"/>
  <c r="AO249" i="13"/>
  <c r="AO248" i="13"/>
  <c r="O246" i="13"/>
  <c r="AO246" i="13" s="1"/>
  <c r="AO244" i="13"/>
  <c r="AO241" i="13"/>
  <c r="O240" i="13"/>
  <c r="AP240" i="13" s="1"/>
  <c r="AO238" i="13"/>
  <c r="AO236" i="13"/>
  <c r="AO235" i="13"/>
  <c r="AO233" i="13"/>
  <c r="AO232" i="13"/>
  <c r="AO229" i="13"/>
  <c r="AO228" i="13"/>
  <c r="AO227" i="13"/>
  <c r="AO226" i="13"/>
  <c r="AO225" i="13"/>
  <c r="AO224" i="13"/>
  <c r="AO48" i="13"/>
  <c r="AO219" i="13"/>
  <c r="AO218" i="13"/>
  <c r="AO215" i="13"/>
  <c r="AO213" i="13"/>
  <c r="AO211" i="13"/>
  <c r="AO209" i="13"/>
  <c r="AO208" i="13"/>
  <c r="AO204" i="13"/>
  <c r="AO203" i="13"/>
  <c r="AO201" i="13"/>
  <c r="AO200" i="13"/>
  <c r="AO199" i="13"/>
  <c r="AO197" i="13"/>
  <c r="AO196" i="13"/>
  <c r="AO195" i="13"/>
  <c r="AO194" i="13"/>
  <c r="AO193" i="13"/>
  <c r="AO192" i="13"/>
  <c r="AO191" i="13"/>
  <c r="AO190" i="13"/>
  <c r="AO188" i="13"/>
  <c r="AO187" i="13"/>
  <c r="AO186" i="13"/>
  <c r="AO185" i="13"/>
  <c r="O184" i="13"/>
  <c r="AP184" i="13" s="1"/>
  <c r="AO182" i="13"/>
  <c r="AO181" i="13"/>
  <c r="AO180" i="13"/>
  <c r="AO179" i="13"/>
  <c r="AO178" i="13"/>
  <c r="AO46" i="13"/>
  <c r="AO177" i="13"/>
  <c r="AO176" i="13"/>
  <c r="AO175" i="13"/>
  <c r="AO174" i="13"/>
  <c r="AO171" i="13"/>
  <c r="O170" i="13"/>
  <c r="O169" i="13"/>
  <c r="AO168" i="13"/>
  <c r="AO166" i="13"/>
  <c r="AO165" i="13"/>
  <c r="AO164" i="13"/>
  <c r="AO163" i="13"/>
  <c r="AO162" i="13"/>
  <c r="AO161" i="13"/>
  <c r="AO159" i="13"/>
  <c r="AO158" i="13"/>
  <c r="AO157" i="13"/>
  <c r="AO155" i="13"/>
  <c r="O154" i="13"/>
  <c r="AO152" i="13"/>
  <c r="AO151" i="13"/>
  <c r="AO150" i="13"/>
  <c r="AO149" i="13"/>
  <c r="AO148" i="13"/>
  <c r="AO147" i="13"/>
  <c r="AO146" i="13"/>
  <c r="AO144" i="13"/>
  <c r="AO141" i="13"/>
  <c r="AO140" i="13"/>
  <c r="AO136" i="13"/>
  <c r="O135" i="13"/>
  <c r="AO134" i="13"/>
  <c r="AO132" i="13"/>
  <c r="AO131" i="13"/>
  <c r="AO130" i="13"/>
  <c r="AO129" i="13"/>
  <c r="AO128" i="13"/>
  <c r="AO126" i="13"/>
  <c r="AO125" i="13"/>
  <c r="AO123" i="13"/>
  <c r="AO120" i="13"/>
  <c r="AO119" i="13"/>
  <c r="AO118" i="13"/>
  <c r="AO117" i="13"/>
  <c r="AO113" i="13"/>
  <c r="AO16" i="13"/>
  <c r="AO15" i="13"/>
  <c r="AO107" i="13"/>
  <c r="O105" i="13"/>
  <c r="AO105" i="13" s="1"/>
  <c r="AO104" i="13"/>
  <c r="O103" i="13"/>
  <c r="AO102" i="13"/>
  <c r="AO101" i="13"/>
  <c r="AO100" i="13"/>
  <c r="AO99" i="13"/>
  <c r="AO96" i="13"/>
  <c r="AO94" i="13"/>
  <c r="AO92" i="13"/>
  <c r="AO91" i="13"/>
  <c r="AO90" i="13"/>
  <c r="O88" i="13"/>
  <c r="AO88" i="13" s="1"/>
  <c r="AO87" i="13"/>
  <c r="AO84" i="13"/>
  <c r="AO83" i="13"/>
  <c r="AO79" i="13"/>
  <c r="AO78" i="13"/>
  <c r="O75" i="13"/>
  <c r="AO74" i="13"/>
  <c r="O73" i="13"/>
  <c r="AO72" i="13"/>
  <c r="AO71" i="13"/>
  <c r="AO70" i="13"/>
  <c r="AO69" i="13"/>
  <c r="O68" i="13"/>
  <c r="AO68" i="13" s="1"/>
  <c r="AO67" i="13"/>
  <c r="AO64" i="13"/>
  <c r="AO63" i="13"/>
  <c r="AO62" i="13"/>
  <c r="AO61" i="13"/>
  <c r="AP441" i="13"/>
  <c r="AP440" i="13"/>
  <c r="AP439" i="13"/>
  <c r="AP438" i="13"/>
  <c r="AP86" i="13"/>
  <c r="AP295" i="13"/>
  <c r="AP433" i="13"/>
  <c r="AP127" i="13"/>
  <c r="AP344" i="13"/>
  <c r="AP259" i="13"/>
  <c r="AP412" i="13"/>
  <c r="AP98" i="13"/>
  <c r="AP428" i="13"/>
  <c r="AP202" i="13"/>
  <c r="AP386" i="13"/>
  <c r="AP266" i="13"/>
  <c r="AP243" i="13"/>
  <c r="AP255" i="13"/>
  <c r="AP346" i="13"/>
  <c r="AP80" i="13"/>
  <c r="AP299" i="13"/>
  <c r="AP205" i="13"/>
  <c r="AP376" i="13"/>
  <c r="AP167" i="13"/>
  <c r="AP373" i="13"/>
  <c r="AP160" i="13"/>
  <c r="AP265" i="13"/>
  <c r="AP173" i="13"/>
  <c r="AP221" i="13"/>
  <c r="AP381" i="13"/>
  <c r="AP222" i="13"/>
  <c r="AP97" i="13"/>
  <c r="AP156" i="13"/>
  <c r="AP407" i="13"/>
  <c r="AP429" i="13"/>
  <c r="AP111" i="13"/>
  <c r="AP371" i="13"/>
  <c r="AP318" i="13"/>
  <c r="AP106" i="13"/>
  <c r="AP262" i="13"/>
  <c r="AP326" i="13"/>
  <c r="AP216" i="13"/>
  <c r="AP234" i="13"/>
  <c r="AP282" i="13"/>
  <c r="AP110" i="13"/>
  <c r="AP310" i="13"/>
  <c r="AP245" i="13"/>
  <c r="AP121" i="13"/>
  <c r="AP402" i="13"/>
  <c r="AP317" i="13"/>
  <c r="AP189" i="13"/>
  <c r="AP349" i="13"/>
  <c r="AP247" i="13"/>
  <c r="AP311" i="13"/>
  <c r="AP319" i="13"/>
  <c r="AP389" i="13"/>
  <c r="AP298" i="13"/>
  <c r="AP212" i="13"/>
  <c r="AP65" i="13"/>
  <c r="AP231" i="13"/>
  <c r="AP122" i="13"/>
  <c r="AP356" i="13"/>
  <c r="AP280" i="13"/>
  <c r="AP153" i="13"/>
  <c r="AP385" i="13"/>
  <c r="AP172" i="13"/>
  <c r="AP353" i="13"/>
  <c r="AP260" i="13"/>
  <c r="AP354" i="13"/>
  <c r="AP239" i="13"/>
  <c r="AP325" i="13"/>
  <c r="AP115" i="13"/>
  <c r="AP314" i="13"/>
  <c r="AP329" i="13"/>
  <c r="AP206" i="13"/>
  <c r="AP435" i="13"/>
  <c r="AP434" i="13"/>
  <c r="AP432" i="13"/>
  <c r="AP427" i="13"/>
  <c r="AP426" i="13"/>
  <c r="AP425" i="13"/>
  <c r="AP424" i="13"/>
  <c r="AP423" i="13"/>
  <c r="P422" i="13"/>
  <c r="AP422" i="13" s="1"/>
  <c r="AP420" i="13"/>
  <c r="AP419" i="13"/>
  <c r="AP417" i="13"/>
  <c r="AP416" i="13"/>
  <c r="AP415" i="13"/>
  <c r="AP414" i="13"/>
  <c r="AP413" i="13"/>
  <c r="AP411" i="13"/>
  <c r="AP410" i="13"/>
  <c r="AP409" i="13"/>
  <c r="AP408" i="13"/>
  <c r="AP10" i="13"/>
  <c r="AP54" i="13"/>
  <c r="P405" i="13"/>
  <c r="AP405" i="13" s="1"/>
  <c r="AP53" i="13"/>
  <c r="AP401" i="13"/>
  <c r="AP400" i="13"/>
  <c r="AP399" i="13"/>
  <c r="AP398" i="13"/>
  <c r="AP397" i="13"/>
  <c r="AP395" i="13"/>
  <c r="AP394" i="13"/>
  <c r="AP392" i="13"/>
  <c r="AP391" i="13"/>
  <c r="P390" i="13"/>
  <c r="AP390" i="13" s="1"/>
  <c r="AP388" i="13"/>
  <c r="AP387" i="13"/>
  <c r="AP384" i="13"/>
  <c r="AP383" i="13"/>
  <c r="AP382" i="13"/>
  <c r="AP380" i="13"/>
  <c r="AP379" i="13"/>
  <c r="AP378" i="13"/>
  <c r="AP51" i="13"/>
  <c r="AP375" i="13"/>
  <c r="AP374" i="13"/>
  <c r="AP372" i="13"/>
  <c r="AP370" i="13"/>
  <c r="AP368" i="13"/>
  <c r="AP366" i="13"/>
  <c r="AP364" i="13"/>
  <c r="AP50" i="13"/>
  <c r="AP361" i="13"/>
  <c r="AP360" i="13"/>
  <c r="AP358" i="13"/>
  <c r="AP357" i="13"/>
  <c r="AP352" i="13"/>
  <c r="AP350" i="13"/>
  <c r="AP28" i="13"/>
  <c r="AP348" i="13"/>
  <c r="AP347" i="13"/>
  <c r="AP345" i="13"/>
  <c r="AP343" i="13"/>
  <c r="P342" i="13"/>
  <c r="AP340" i="13"/>
  <c r="AP339" i="13"/>
  <c r="AP337" i="13"/>
  <c r="AP336" i="13"/>
  <c r="AP333" i="13"/>
  <c r="AP332" i="13"/>
  <c r="AP331" i="13"/>
  <c r="AP330" i="13"/>
  <c r="AP328" i="13"/>
  <c r="AP327" i="13"/>
  <c r="AP322" i="13"/>
  <c r="AP30" i="13"/>
  <c r="P320" i="13"/>
  <c r="AP320" i="13" s="1"/>
  <c r="AP316" i="13"/>
  <c r="AP315" i="13"/>
  <c r="AP313" i="13"/>
  <c r="AP312" i="13"/>
  <c r="P309" i="13"/>
  <c r="AQ309" i="13" s="1"/>
  <c r="AP308" i="13"/>
  <c r="AP307" i="13"/>
  <c r="AP306" i="13"/>
  <c r="AP305" i="13"/>
  <c r="AP304" i="13"/>
  <c r="AP303" i="13"/>
  <c r="P301" i="13"/>
  <c r="AP300" i="13"/>
  <c r="AP297" i="13"/>
  <c r="P296" i="13"/>
  <c r="AP296" i="13" s="1"/>
  <c r="AP24" i="13"/>
  <c r="AP294" i="13"/>
  <c r="AP293" i="13"/>
  <c r="AP292" i="13"/>
  <c r="AP291" i="13"/>
  <c r="P290" i="13"/>
  <c r="AP290" i="13" s="1"/>
  <c r="AP289" i="13"/>
  <c r="AP36" i="13"/>
  <c r="AP287" i="13"/>
  <c r="AP286" i="13"/>
  <c r="AP285" i="13"/>
  <c r="AP284" i="13"/>
  <c r="AP283" i="13"/>
  <c r="AP279" i="13"/>
  <c r="P278" i="13"/>
  <c r="AP278" i="13" s="1"/>
  <c r="AP276" i="13"/>
  <c r="AP275" i="13"/>
  <c r="P274" i="13"/>
  <c r="AP274" i="13" s="1"/>
  <c r="AP273" i="13"/>
  <c r="AP272" i="13"/>
  <c r="AP271" i="13"/>
  <c r="AP270" i="13"/>
  <c r="AP269" i="13"/>
  <c r="AP267" i="13"/>
  <c r="AP264" i="13"/>
  <c r="AP263" i="13"/>
  <c r="P261" i="13"/>
  <c r="AP261" i="13" s="1"/>
  <c r="P258" i="13"/>
  <c r="AQ258" i="13" s="1"/>
  <c r="AP254" i="13"/>
  <c r="AP252" i="13"/>
  <c r="P251" i="13"/>
  <c r="AP250" i="13"/>
  <c r="AP249" i="13"/>
  <c r="P248" i="13"/>
  <c r="AP248" i="13" s="1"/>
  <c r="P246" i="13"/>
  <c r="AP244" i="13"/>
  <c r="AP241" i="13"/>
  <c r="AP238" i="13"/>
  <c r="P236" i="13"/>
  <c r="AP235" i="13"/>
  <c r="AP233" i="13"/>
  <c r="AP232" i="13"/>
  <c r="AP230" i="13"/>
  <c r="AP229" i="13"/>
  <c r="AP228" i="13"/>
  <c r="AP227" i="13"/>
  <c r="AP226" i="13"/>
  <c r="AP225" i="13"/>
  <c r="AP224" i="13"/>
  <c r="AP48" i="13"/>
  <c r="AP219" i="13"/>
  <c r="AP218" i="13"/>
  <c r="AP215" i="13"/>
  <c r="AP213" i="13"/>
  <c r="AP211" i="13"/>
  <c r="AP209" i="13"/>
  <c r="AP208" i="13"/>
  <c r="AP204" i="13"/>
  <c r="AP203" i="13"/>
  <c r="AP201" i="13"/>
  <c r="AP200" i="13"/>
  <c r="AP199" i="13"/>
  <c r="AP197" i="13"/>
  <c r="AP196" i="13"/>
  <c r="AP195" i="13"/>
  <c r="AP194" i="13"/>
  <c r="AP193" i="13"/>
  <c r="AP192" i="13"/>
  <c r="AP191" i="13"/>
  <c r="AP190" i="13"/>
  <c r="P188" i="13"/>
  <c r="AP187" i="13"/>
  <c r="AP186" i="13"/>
  <c r="P185" i="13"/>
  <c r="AP182" i="13"/>
  <c r="AP181" i="13"/>
  <c r="AP180" i="13"/>
  <c r="P179" i="13"/>
  <c r="AQ179" i="13" s="1"/>
  <c r="AP178" i="13"/>
  <c r="AP46" i="13"/>
  <c r="AP177" i="13"/>
  <c r="AP176" i="13"/>
  <c r="AP175" i="13"/>
  <c r="AP174" i="13"/>
  <c r="AP171" i="13"/>
  <c r="P170" i="13"/>
  <c r="AP168" i="13"/>
  <c r="AP166" i="13"/>
  <c r="AP165" i="13"/>
  <c r="AP164" i="13"/>
  <c r="AP163" i="13"/>
  <c r="AP162" i="13"/>
  <c r="AP161" i="13"/>
  <c r="AP159" i="13"/>
  <c r="AP158" i="13"/>
  <c r="AP157" i="13"/>
  <c r="AP155" i="13"/>
  <c r="P154" i="13"/>
  <c r="AP152" i="13"/>
  <c r="AP151" i="13"/>
  <c r="P150" i="13"/>
  <c r="AP150" i="13" s="1"/>
  <c r="AP149" i="13"/>
  <c r="AP148" i="13"/>
  <c r="AP147" i="13"/>
  <c r="AP146" i="13"/>
  <c r="AP144" i="13"/>
  <c r="P141" i="13"/>
  <c r="AP141" i="13" s="1"/>
  <c r="P140" i="13"/>
  <c r="AP136" i="13"/>
  <c r="P135" i="13"/>
  <c r="AQ135" i="13" s="1"/>
  <c r="AP134" i="13"/>
  <c r="AP132" i="13"/>
  <c r="AP131" i="13"/>
  <c r="AP130" i="13"/>
  <c r="AP129" i="13"/>
  <c r="AP128" i="13"/>
  <c r="AP126" i="13"/>
  <c r="AP125" i="13"/>
  <c r="AP123" i="13"/>
  <c r="AP120" i="13"/>
  <c r="AP119" i="13"/>
  <c r="AP118" i="13"/>
  <c r="AP117" i="13"/>
  <c r="AP113" i="13"/>
  <c r="P16" i="13"/>
  <c r="AP16" i="13" s="1"/>
  <c r="P15" i="13"/>
  <c r="AP15" i="13" s="1"/>
  <c r="AP107" i="13"/>
  <c r="P105" i="13"/>
  <c r="AP104" i="13"/>
  <c r="AP102" i="13"/>
  <c r="AP101" i="13"/>
  <c r="AP100" i="13"/>
  <c r="AP99" i="13"/>
  <c r="AP96" i="13"/>
  <c r="AP94" i="13"/>
  <c r="AP92" i="13"/>
  <c r="AP91" i="13"/>
  <c r="AP90" i="13"/>
  <c r="AP89" i="13"/>
  <c r="P88" i="13"/>
  <c r="P87" i="13"/>
  <c r="AP87" i="13" s="1"/>
  <c r="AP84" i="13"/>
  <c r="AP83" i="13"/>
  <c r="AP81" i="13"/>
  <c r="AP79" i="13"/>
  <c r="AP78" i="13"/>
  <c r="P75" i="13"/>
  <c r="AP74" i="13"/>
  <c r="AP72" i="13"/>
  <c r="AP71" i="13"/>
  <c r="AP70" i="13"/>
  <c r="AP69" i="13"/>
  <c r="P68" i="13"/>
  <c r="AQ68" i="13" s="1"/>
  <c r="AP67" i="13"/>
  <c r="AP66" i="13"/>
  <c r="AP64" i="13"/>
  <c r="AP63" i="13"/>
  <c r="AP62" i="13"/>
  <c r="AP61" i="13"/>
  <c r="AP2" i="13"/>
  <c r="AO2" i="13"/>
  <c r="AN2" i="13"/>
  <c r="AM2" i="13"/>
  <c r="AL2" i="13"/>
  <c r="AK2" i="13"/>
  <c r="AJ2" i="13"/>
  <c r="AI2" i="13"/>
  <c r="AH2" i="13"/>
  <c r="AG2" i="13"/>
  <c r="AF2" i="13"/>
  <c r="AE2" i="13"/>
  <c r="AD2" i="13"/>
  <c r="AC2" i="13"/>
  <c r="AQ61" i="13"/>
  <c r="AW441" i="13"/>
  <c r="AV441" i="13"/>
  <c r="AU441" i="13"/>
  <c r="AT441" i="13"/>
  <c r="AS441" i="13"/>
  <c r="AR441" i="13"/>
  <c r="AQ441" i="13"/>
  <c r="AW440" i="13"/>
  <c r="AV440" i="13"/>
  <c r="AU440" i="13"/>
  <c r="AT440" i="13"/>
  <c r="AS440" i="13"/>
  <c r="AR440" i="13"/>
  <c r="AQ440" i="13"/>
  <c r="AW439" i="13"/>
  <c r="AV439" i="13"/>
  <c r="AU439" i="13"/>
  <c r="AT439" i="13"/>
  <c r="AS439" i="13"/>
  <c r="AR439" i="13"/>
  <c r="AQ439" i="13"/>
  <c r="AW438" i="13"/>
  <c r="AV438" i="13"/>
  <c r="AU438" i="13"/>
  <c r="AT438" i="13"/>
  <c r="AS438" i="13"/>
  <c r="AR438" i="13"/>
  <c r="AQ438" i="13"/>
  <c r="AW86" i="13"/>
  <c r="AV86" i="13"/>
  <c r="AU86" i="13"/>
  <c r="AT86" i="13"/>
  <c r="AS86" i="13"/>
  <c r="AR86" i="13"/>
  <c r="AQ86" i="13"/>
  <c r="AW295" i="13"/>
  <c r="AV295" i="13"/>
  <c r="AU295" i="13"/>
  <c r="AT295" i="13"/>
  <c r="AS295" i="13"/>
  <c r="AR295" i="13"/>
  <c r="AQ295" i="13"/>
  <c r="AW433" i="13"/>
  <c r="AV433" i="13"/>
  <c r="AU433" i="13"/>
  <c r="AT433" i="13"/>
  <c r="AS433" i="13"/>
  <c r="AR433" i="13"/>
  <c r="AQ433" i="13"/>
  <c r="AW127" i="13"/>
  <c r="AV127" i="13"/>
  <c r="AU127" i="13"/>
  <c r="AT127" i="13"/>
  <c r="AS127" i="13"/>
  <c r="AR127" i="13"/>
  <c r="AQ127" i="13"/>
  <c r="AW344" i="13"/>
  <c r="AV344" i="13"/>
  <c r="AU344" i="13"/>
  <c r="AT344" i="13"/>
  <c r="AS344" i="13"/>
  <c r="AR344" i="13"/>
  <c r="AQ344" i="13"/>
  <c r="AW259" i="13"/>
  <c r="AV259" i="13"/>
  <c r="AU259" i="13"/>
  <c r="AT259" i="13"/>
  <c r="AS259" i="13"/>
  <c r="AR259" i="13"/>
  <c r="AQ259" i="13"/>
  <c r="AW412" i="13"/>
  <c r="AV412" i="13"/>
  <c r="AU412" i="13"/>
  <c r="AT412" i="13"/>
  <c r="AS412" i="13"/>
  <c r="AR412" i="13"/>
  <c r="AQ412" i="13"/>
  <c r="AW98" i="13"/>
  <c r="AV98" i="13"/>
  <c r="AU98" i="13"/>
  <c r="AT98" i="13"/>
  <c r="AS98" i="13"/>
  <c r="AR98" i="13"/>
  <c r="AQ98" i="13"/>
  <c r="AW428" i="13"/>
  <c r="AV428" i="13"/>
  <c r="AU428" i="13"/>
  <c r="AT428" i="13"/>
  <c r="AS428" i="13"/>
  <c r="AR428" i="13"/>
  <c r="AQ428" i="13"/>
  <c r="AW202" i="13"/>
  <c r="AV202" i="13"/>
  <c r="AU202" i="13"/>
  <c r="AT202" i="13"/>
  <c r="AS202" i="13"/>
  <c r="AR202" i="13"/>
  <c r="AQ202" i="13"/>
  <c r="AW386" i="13"/>
  <c r="AV386" i="13"/>
  <c r="AU386" i="13"/>
  <c r="AT386" i="13"/>
  <c r="AS386" i="13"/>
  <c r="AR386" i="13"/>
  <c r="AQ386" i="13"/>
  <c r="AW266" i="13"/>
  <c r="AV266" i="13"/>
  <c r="AU266" i="13"/>
  <c r="AT266" i="13"/>
  <c r="AS266" i="13"/>
  <c r="AR266" i="13"/>
  <c r="AQ266" i="13"/>
  <c r="AW243" i="13"/>
  <c r="AV243" i="13"/>
  <c r="AU243" i="13"/>
  <c r="AT243" i="13"/>
  <c r="AS243" i="13"/>
  <c r="AR243" i="13"/>
  <c r="AQ243" i="13"/>
  <c r="AW255" i="13"/>
  <c r="AV255" i="13"/>
  <c r="AU255" i="13"/>
  <c r="AT255" i="13"/>
  <c r="AS255" i="13"/>
  <c r="AR255" i="13"/>
  <c r="AQ255" i="13"/>
  <c r="AW346" i="13"/>
  <c r="AV346" i="13"/>
  <c r="AU346" i="13"/>
  <c r="AT346" i="13"/>
  <c r="AS346" i="13"/>
  <c r="AR346" i="13"/>
  <c r="AQ346" i="13"/>
  <c r="AW80" i="13"/>
  <c r="AV80" i="13"/>
  <c r="AU80" i="13"/>
  <c r="AT80" i="13"/>
  <c r="AS80" i="13"/>
  <c r="AR80" i="13"/>
  <c r="AQ80" i="13"/>
  <c r="AW299" i="13"/>
  <c r="AV299" i="13"/>
  <c r="AU299" i="13"/>
  <c r="AT299" i="13"/>
  <c r="AS299" i="13"/>
  <c r="AR299" i="13"/>
  <c r="AQ299" i="13"/>
  <c r="AW205" i="13"/>
  <c r="AV205" i="13"/>
  <c r="AU205" i="13"/>
  <c r="AT205" i="13"/>
  <c r="AS205" i="13"/>
  <c r="AR205" i="13"/>
  <c r="AQ205" i="13"/>
  <c r="AW376" i="13"/>
  <c r="AV376" i="13"/>
  <c r="AU376" i="13"/>
  <c r="AT376" i="13"/>
  <c r="AS376" i="13"/>
  <c r="AR376" i="13"/>
  <c r="AQ376" i="13"/>
  <c r="AW167" i="13"/>
  <c r="AV167" i="13"/>
  <c r="AU167" i="13"/>
  <c r="AT167" i="13"/>
  <c r="AS167" i="13"/>
  <c r="AR167" i="13"/>
  <c r="AQ167" i="13"/>
  <c r="AW373" i="13"/>
  <c r="AV373" i="13"/>
  <c r="AU373" i="13"/>
  <c r="AT373" i="13"/>
  <c r="AS373" i="13"/>
  <c r="AR373" i="13"/>
  <c r="AQ373" i="13"/>
  <c r="AW160" i="13"/>
  <c r="AV160" i="13"/>
  <c r="AU160" i="13"/>
  <c r="AT160" i="13"/>
  <c r="AS160" i="13"/>
  <c r="AR160" i="13"/>
  <c r="AQ160" i="13"/>
  <c r="AW265" i="13"/>
  <c r="AV265" i="13"/>
  <c r="AU265" i="13"/>
  <c r="AT265" i="13"/>
  <c r="AS265" i="13"/>
  <c r="AR265" i="13"/>
  <c r="AQ265" i="13"/>
  <c r="AW173" i="13"/>
  <c r="AV173" i="13"/>
  <c r="AU173" i="13"/>
  <c r="AT173" i="13"/>
  <c r="AS173" i="13"/>
  <c r="AR173" i="13"/>
  <c r="AQ173" i="13"/>
  <c r="AW221" i="13"/>
  <c r="AV221" i="13"/>
  <c r="AU221" i="13"/>
  <c r="AT221" i="13"/>
  <c r="AS221" i="13"/>
  <c r="AR221" i="13"/>
  <c r="AQ221" i="13"/>
  <c r="AW381" i="13"/>
  <c r="AV381" i="13"/>
  <c r="AU381" i="13"/>
  <c r="AT381" i="13"/>
  <c r="AS381" i="13"/>
  <c r="AR381" i="13"/>
  <c r="AQ381" i="13"/>
  <c r="AW222" i="13"/>
  <c r="AV222" i="13"/>
  <c r="AU222" i="13"/>
  <c r="AT222" i="13"/>
  <c r="AS222" i="13"/>
  <c r="AR222" i="13"/>
  <c r="AQ222" i="13"/>
  <c r="AW97" i="13"/>
  <c r="AV97" i="13"/>
  <c r="AU97" i="13"/>
  <c r="AT97" i="13"/>
  <c r="AS97" i="13"/>
  <c r="AR97" i="13"/>
  <c r="AQ97" i="13"/>
  <c r="AW156" i="13"/>
  <c r="AV156" i="13"/>
  <c r="AU156" i="13"/>
  <c r="AT156" i="13"/>
  <c r="AS156" i="13"/>
  <c r="AR156" i="13"/>
  <c r="AQ156" i="13"/>
  <c r="AW407" i="13"/>
  <c r="AV407" i="13"/>
  <c r="AU407" i="13"/>
  <c r="AT407" i="13"/>
  <c r="AS407" i="13"/>
  <c r="AR407" i="13"/>
  <c r="AQ407" i="13"/>
  <c r="AW429" i="13"/>
  <c r="AV429" i="13"/>
  <c r="AU429" i="13"/>
  <c r="AT429" i="13"/>
  <c r="AS429" i="13"/>
  <c r="AR429" i="13"/>
  <c r="AQ429" i="13"/>
  <c r="AW111" i="13"/>
  <c r="AV111" i="13"/>
  <c r="AU111" i="13"/>
  <c r="AT111" i="13"/>
  <c r="AS111" i="13"/>
  <c r="AR111" i="13"/>
  <c r="AQ111" i="13"/>
  <c r="AW371" i="13"/>
  <c r="AV371" i="13"/>
  <c r="AU371" i="13"/>
  <c r="AT371" i="13"/>
  <c r="AS371" i="13"/>
  <c r="AR371" i="13"/>
  <c r="AQ371" i="13"/>
  <c r="AW318" i="13"/>
  <c r="AV318" i="13"/>
  <c r="AU318" i="13"/>
  <c r="AT318" i="13"/>
  <c r="AS318" i="13"/>
  <c r="AR318" i="13"/>
  <c r="AQ318" i="13"/>
  <c r="AW106" i="13"/>
  <c r="AV106" i="13"/>
  <c r="AU106" i="13"/>
  <c r="AT106" i="13"/>
  <c r="AS106" i="13"/>
  <c r="AR106" i="13"/>
  <c r="AQ106" i="13"/>
  <c r="AW262" i="13"/>
  <c r="AV262" i="13"/>
  <c r="AU262" i="13"/>
  <c r="AT262" i="13"/>
  <c r="AS262" i="13"/>
  <c r="AR262" i="13"/>
  <c r="AQ262" i="13"/>
  <c r="AW326" i="13"/>
  <c r="AV326" i="13"/>
  <c r="AU326" i="13"/>
  <c r="AT326" i="13"/>
  <c r="AS326" i="13"/>
  <c r="AR326" i="13"/>
  <c r="AQ326" i="13"/>
  <c r="AW216" i="13"/>
  <c r="AV216" i="13"/>
  <c r="AU216" i="13"/>
  <c r="AT216" i="13"/>
  <c r="AS216" i="13"/>
  <c r="AR216" i="13"/>
  <c r="AQ216" i="13"/>
  <c r="AW234" i="13"/>
  <c r="AV234" i="13"/>
  <c r="AU234" i="13"/>
  <c r="AT234" i="13"/>
  <c r="AS234" i="13"/>
  <c r="AR234" i="13"/>
  <c r="AQ234" i="13"/>
  <c r="AW282" i="13"/>
  <c r="AV282" i="13"/>
  <c r="AU282" i="13"/>
  <c r="AT282" i="13"/>
  <c r="AS282" i="13"/>
  <c r="AR282" i="13"/>
  <c r="AQ282" i="13"/>
  <c r="AW110" i="13"/>
  <c r="AV110" i="13"/>
  <c r="AU110" i="13"/>
  <c r="AT110" i="13"/>
  <c r="AS110" i="13"/>
  <c r="AR110" i="13"/>
  <c r="AQ110" i="13"/>
  <c r="AW310" i="13"/>
  <c r="AV310" i="13"/>
  <c r="AU310" i="13"/>
  <c r="AT310" i="13"/>
  <c r="AS310" i="13"/>
  <c r="AR310" i="13"/>
  <c r="AQ310" i="13"/>
  <c r="AW245" i="13"/>
  <c r="AV245" i="13"/>
  <c r="AU245" i="13"/>
  <c r="AT245" i="13"/>
  <c r="AS245" i="13"/>
  <c r="AR245" i="13"/>
  <c r="AQ245" i="13"/>
  <c r="AW121" i="13"/>
  <c r="AV121" i="13"/>
  <c r="AU121" i="13"/>
  <c r="AT121" i="13"/>
  <c r="AS121" i="13"/>
  <c r="AR121" i="13"/>
  <c r="AQ121" i="13"/>
  <c r="AW402" i="13"/>
  <c r="AV402" i="13"/>
  <c r="AU402" i="13"/>
  <c r="AT402" i="13"/>
  <c r="AS402" i="13"/>
  <c r="AR402" i="13"/>
  <c r="AQ402" i="13"/>
  <c r="AW317" i="13"/>
  <c r="AV317" i="13"/>
  <c r="AU317" i="13"/>
  <c r="AT317" i="13"/>
  <c r="AS317" i="13"/>
  <c r="AR317" i="13"/>
  <c r="AQ317" i="13"/>
  <c r="AW189" i="13"/>
  <c r="AV189" i="13"/>
  <c r="AU189" i="13"/>
  <c r="AT189" i="13"/>
  <c r="AS189" i="13"/>
  <c r="AR189" i="13"/>
  <c r="AQ189" i="13"/>
  <c r="AW349" i="13"/>
  <c r="AV349" i="13"/>
  <c r="AU349" i="13"/>
  <c r="AT349" i="13"/>
  <c r="AS349" i="13"/>
  <c r="AR349" i="13"/>
  <c r="AQ349" i="13"/>
  <c r="AW247" i="13"/>
  <c r="AV247" i="13"/>
  <c r="AU247" i="13"/>
  <c r="AT247" i="13"/>
  <c r="AS247" i="13"/>
  <c r="AR247" i="13"/>
  <c r="AQ247" i="13"/>
  <c r="AW311" i="13"/>
  <c r="AV311" i="13"/>
  <c r="AU311" i="13"/>
  <c r="AT311" i="13"/>
  <c r="AS311" i="13"/>
  <c r="AR311" i="13"/>
  <c r="AQ311" i="13"/>
  <c r="AW319" i="13"/>
  <c r="AV319" i="13"/>
  <c r="AU319" i="13"/>
  <c r="AT319" i="13"/>
  <c r="AS319" i="13"/>
  <c r="AR319" i="13"/>
  <c r="AQ319" i="13"/>
  <c r="AW389" i="13"/>
  <c r="AV389" i="13"/>
  <c r="AU389" i="13"/>
  <c r="AT389" i="13"/>
  <c r="AS389" i="13"/>
  <c r="AR389" i="13"/>
  <c r="AQ389" i="13"/>
  <c r="AW298" i="13"/>
  <c r="AV298" i="13"/>
  <c r="AU298" i="13"/>
  <c r="AT298" i="13"/>
  <c r="AS298" i="13"/>
  <c r="AR298" i="13"/>
  <c r="AQ298" i="13"/>
  <c r="AW212" i="13"/>
  <c r="AV212" i="13"/>
  <c r="AU212" i="13"/>
  <c r="AT212" i="13"/>
  <c r="AS212" i="13"/>
  <c r="AR212" i="13"/>
  <c r="AQ212" i="13"/>
  <c r="AW65" i="13"/>
  <c r="AV65" i="13"/>
  <c r="AU65" i="13"/>
  <c r="AT65" i="13"/>
  <c r="AS65" i="13"/>
  <c r="AR65" i="13"/>
  <c r="AQ65" i="13"/>
  <c r="AW231" i="13"/>
  <c r="AV231" i="13"/>
  <c r="AU231" i="13"/>
  <c r="AT231" i="13"/>
  <c r="AS231" i="13"/>
  <c r="AR231" i="13"/>
  <c r="AQ231" i="13"/>
  <c r="AW122" i="13"/>
  <c r="AV122" i="13"/>
  <c r="AU122" i="13"/>
  <c r="AT122" i="13"/>
  <c r="AS122" i="13"/>
  <c r="AR122" i="13"/>
  <c r="AQ122" i="13"/>
  <c r="AW356" i="13"/>
  <c r="AV356" i="13"/>
  <c r="AU356" i="13"/>
  <c r="AT356" i="13"/>
  <c r="AS356" i="13"/>
  <c r="AR356" i="13"/>
  <c r="AQ356" i="13"/>
  <c r="AW280" i="13"/>
  <c r="AV280" i="13"/>
  <c r="AU280" i="13"/>
  <c r="AT280" i="13"/>
  <c r="AS280" i="13"/>
  <c r="AR280" i="13"/>
  <c r="AQ280" i="13"/>
  <c r="AW153" i="13"/>
  <c r="AV153" i="13"/>
  <c r="AU153" i="13"/>
  <c r="AT153" i="13"/>
  <c r="AS153" i="13"/>
  <c r="AR153" i="13"/>
  <c r="AQ153" i="13"/>
  <c r="AW385" i="13"/>
  <c r="AV385" i="13"/>
  <c r="AU385" i="13"/>
  <c r="AT385" i="13"/>
  <c r="AS385" i="13"/>
  <c r="AR385" i="13"/>
  <c r="AQ385" i="13"/>
  <c r="AW172" i="13"/>
  <c r="AV172" i="13"/>
  <c r="AU172" i="13"/>
  <c r="AT172" i="13"/>
  <c r="AS172" i="13"/>
  <c r="AR172" i="13"/>
  <c r="AQ172" i="13"/>
  <c r="AW353" i="13"/>
  <c r="AV353" i="13"/>
  <c r="AU353" i="13"/>
  <c r="AT353" i="13"/>
  <c r="AS353" i="13"/>
  <c r="AR353" i="13"/>
  <c r="AQ353" i="13"/>
  <c r="AW260" i="13"/>
  <c r="AV260" i="13"/>
  <c r="AU260" i="13"/>
  <c r="AT260" i="13"/>
  <c r="AS260" i="13"/>
  <c r="AR260" i="13"/>
  <c r="AQ260" i="13"/>
  <c r="AW354" i="13"/>
  <c r="AV354" i="13"/>
  <c r="AU354" i="13"/>
  <c r="AT354" i="13"/>
  <c r="AS354" i="13"/>
  <c r="AR354" i="13"/>
  <c r="AQ354" i="13"/>
  <c r="AW239" i="13"/>
  <c r="AV239" i="13"/>
  <c r="AU239" i="13"/>
  <c r="AT239" i="13"/>
  <c r="AS239" i="13"/>
  <c r="AR239" i="13"/>
  <c r="AQ239" i="13"/>
  <c r="AW325" i="13"/>
  <c r="AV325" i="13"/>
  <c r="AU325" i="13"/>
  <c r="AT325" i="13"/>
  <c r="AS325" i="13"/>
  <c r="AR325" i="13"/>
  <c r="AQ325" i="13"/>
  <c r="AW115" i="13"/>
  <c r="AV115" i="13"/>
  <c r="AU115" i="13"/>
  <c r="AT115" i="13"/>
  <c r="AS115" i="13"/>
  <c r="AR115" i="13"/>
  <c r="AQ115" i="13"/>
  <c r="AW314" i="13"/>
  <c r="AV314" i="13"/>
  <c r="AU314" i="13"/>
  <c r="AT314" i="13"/>
  <c r="AS314" i="13"/>
  <c r="AR314" i="13"/>
  <c r="AQ314" i="13"/>
  <c r="AW329" i="13"/>
  <c r="AV329" i="13"/>
  <c r="AU329" i="13"/>
  <c r="AT329" i="13"/>
  <c r="AS329" i="13"/>
  <c r="AR329" i="13"/>
  <c r="AQ329" i="13"/>
  <c r="AW206" i="13"/>
  <c r="AV206" i="13"/>
  <c r="AU206" i="13"/>
  <c r="AT206" i="13"/>
  <c r="AS206" i="13"/>
  <c r="AR206" i="13"/>
  <c r="AQ206" i="13"/>
  <c r="W435" i="13"/>
  <c r="AW435" i="13" s="1"/>
  <c r="AV435" i="13"/>
  <c r="AU435" i="13"/>
  <c r="AT435" i="13"/>
  <c r="AS435" i="13"/>
  <c r="AR435" i="13"/>
  <c r="AQ435" i="13"/>
  <c r="AW434" i="13"/>
  <c r="U434" i="13"/>
  <c r="AV434" i="13" s="1"/>
  <c r="AT434" i="13"/>
  <c r="AS434" i="13"/>
  <c r="AR434" i="13"/>
  <c r="AQ434" i="13"/>
  <c r="AW432" i="13"/>
  <c r="U432" i="13"/>
  <c r="AV432" i="13" s="1"/>
  <c r="S432" i="13"/>
  <c r="AT432" i="13" s="1"/>
  <c r="R432" i="13"/>
  <c r="AR432" i="13" s="1"/>
  <c r="AQ432" i="13"/>
  <c r="AW430" i="13"/>
  <c r="AV430" i="13"/>
  <c r="AU430" i="13"/>
  <c r="AT430" i="13"/>
  <c r="AS430" i="13"/>
  <c r="AR430" i="13"/>
  <c r="AQ430" i="13"/>
  <c r="AW427" i="13"/>
  <c r="AV427" i="13"/>
  <c r="AU427" i="13"/>
  <c r="S427" i="13"/>
  <c r="AT427" i="13" s="1"/>
  <c r="R427" i="13"/>
  <c r="AR427" i="13" s="1"/>
  <c r="AQ427" i="13"/>
  <c r="AW426" i="13"/>
  <c r="AV426" i="13"/>
  <c r="AU426" i="13"/>
  <c r="S426" i="13"/>
  <c r="AT426" i="13" s="1"/>
  <c r="AR426" i="13"/>
  <c r="AQ426" i="13"/>
  <c r="AW425" i="13"/>
  <c r="AV425" i="13"/>
  <c r="AU425" i="13"/>
  <c r="AT425" i="13"/>
  <c r="AS425" i="13"/>
  <c r="AR425" i="13"/>
  <c r="AQ425" i="13"/>
  <c r="W424" i="13"/>
  <c r="AV424" i="13"/>
  <c r="AU424" i="13"/>
  <c r="AT424" i="13"/>
  <c r="AS424" i="13"/>
  <c r="AR424" i="13"/>
  <c r="AQ424" i="13"/>
  <c r="AW423" i="13"/>
  <c r="AV423" i="13"/>
  <c r="AU423" i="13"/>
  <c r="AT423" i="13"/>
  <c r="AS423" i="13"/>
  <c r="AR423" i="13"/>
  <c r="AQ423" i="13"/>
  <c r="AW422" i="13"/>
  <c r="AV422" i="13"/>
  <c r="AU422" i="13"/>
  <c r="AT422" i="13"/>
  <c r="AS422" i="13"/>
  <c r="Q422" i="13"/>
  <c r="AR422" i="13" s="1"/>
  <c r="AW421" i="13"/>
  <c r="AV421" i="13"/>
  <c r="AU421" i="13"/>
  <c r="AT421" i="13"/>
  <c r="AS421" i="13"/>
  <c r="AR421" i="13"/>
  <c r="AQ421" i="13"/>
  <c r="AW420" i="13"/>
  <c r="U420" i="13"/>
  <c r="AT420" i="13"/>
  <c r="AS420" i="13"/>
  <c r="AR420" i="13"/>
  <c r="AQ420" i="13"/>
  <c r="AW419" i="13"/>
  <c r="AV419" i="13"/>
  <c r="T419" i="13"/>
  <c r="S419" i="13"/>
  <c r="AS419" i="13" s="1"/>
  <c r="AR419" i="13"/>
  <c r="AQ419" i="13"/>
  <c r="AW417" i="13"/>
  <c r="AV417" i="13"/>
  <c r="AU417" i="13"/>
  <c r="AT417" i="13"/>
  <c r="AS417" i="13"/>
  <c r="Q417" i="13"/>
  <c r="AR417" i="13" s="1"/>
  <c r="AW416" i="13"/>
  <c r="U416" i="13"/>
  <c r="AV416" i="13" s="1"/>
  <c r="AT416" i="13"/>
  <c r="AS416" i="13"/>
  <c r="AR416" i="13"/>
  <c r="AQ416" i="13"/>
  <c r="AW415" i="13"/>
  <c r="AV415" i="13"/>
  <c r="AU415" i="13"/>
  <c r="S415" i="13"/>
  <c r="AS415" i="13" s="1"/>
  <c r="AR415" i="13"/>
  <c r="AQ415" i="13"/>
  <c r="AW414" i="13"/>
  <c r="U414" i="13"/>
  <c r="T414" i="13"/>
  <c r="AT414" i="13" s="1"/>
  <c r="R414" i="13"/>
  <c r="AS414" i="13" s="1"/>
  <c r="AQ414" i="13"/>
  <c r="AW413" i="13"/>
  <c r="AV413" i="13"/>
  <c r="AU413" i="13"/>
  <c r="AT413" i="13"/>
  <c r="AS413" i="13"/>
  <c r="AR413" i="13"/>
  <c r="AQ413" i="13"/>
  <c r="AW411" i="13"/>
  <c r="AV411" i="13"/>
  <c r="AU411" i="13"/>
  <c r="AT411" i="13"/>
  <c r="AS411" i="13"/>
  <c r="AR411" i="13"/>
  <c r="AQ411" i="13"/>
  <c r="AW410" i="13"/>
  <c r="AV410" i="13"/>
  <c r="AU410" i="13"/>
  <c r="AT410" i="13"/>
  <c r="AS410" i="13"/>
  <c r="AR410" i="13"/>
  <c r="AQ410" i="13"/>
  <c r="AW409" i="13"/>
  <c r="U409" i="13"/>
  <c r="AV409" i="13" s="1"/>
  <c r="AT409" i="13"/>
  <c r="AS409" i="13"/>
  <c r="AR409" i="13"/>
  <c r="AQ409" i="13"/>
  <c r="AW408" i="13"/>
  <c r="AV408" i="13"/>
  <c r="AU408" i="13"/>
  <c r="AT408" i="13"/>
  <c r="AS408" i="13"/>
  <c r="AR408" i="13"/>
  <c r="AQ408" i="13"/>
  <c r="W10" i="13"/>
  <c r="AW10" i="13" s="1"/>
  <c r="AV10" i="13"/>
  <c r="AU10" i="13"/>
  <c r="AT10" i="13"/>
  <c r="AS10" i="13"/>
  <c r="AR10" i="13"/>
  <c r="AQ10" i="13"/>
  <c r="AW54" i="13"/>
  <c r="AV54" i="13"/>
  <c r="AU54" i="13"/>
  <c r="AT54" i="13"/>
  <c r="AS54" i="13"/>
  <c r="AR54" i="13"/>
  <c r="AQ54" i="13"/>
  <c r="AW405" i="13"/>
  <c r="AV405" i="13"/>
  <c r="AU405" i="13"/>
  <c r="AT405" i="13"/>
  <c r="AS405" i="13"/>
  <c r="AR405" i="13"/>
  <c r="AW53" i="13"/>
  <c r="AV53" i="13"/>
  <c r="AU53" i="13"/>
  <c r="AT53" i="13"/>
  <c r="AS53" i="13"/>
  <c r="AR53" i="13"/>
  <c r="AQ53" i="13"/>
  <c r="AW403" i="13"/>
  <c r="AV403" i="13"/>
  <c r="AU403" i="13"/>
  <c r="AT403" i="13"/>
  <c r="AS403" i="13"/>
  <c r="AR403" i="13"/>
  <c r="AQ403" i="13"/>
  <c r="AW401" i="13"/>
  <c r="AV401" i="13"/>
  <c r="AU401" i="13"/>
  <c r="AT401" i="13"/>
  <c r="AS401" i="13"/>
  <c r="AR401" i="13"/>
  <c r="AQ401" i="13"/>
  <c r="AW400" i="13"/>
  <c r="AV400" i="13"/>
  <c r="T400" i="13"/>
  <c r="AT400" i="13" s="1"/>
  <c r="AS400" i="13"/>
  <c r="AR400" i="13"/>
  <c r="AQ400" i="13"/>
  <c r="W399" i="13"/>
  <c r="AX399" i="13" s="1"/>
  <c r="V399" i="13"/>
  <c r="AU399" i="13"/>
  <c r="AT399" i="13"/>
  <c r="AS399" i="13"/>
  <c r="AR399" i="13"/>
  <c r="AQ399" i="13"/>
  <c r="W398" i="13"/>
  <c r="AX398" i="13" s="1"/>
  <c r="AV398" i="13"/>
  <c r="AU398" i="13"/>
  <c r="AT398" i="13"/>
  <c r="AS398" i="13"/>
  <c r="AR398" i="13"/>
  <c r="AQ398" i="13"/>
  <c r="W397" i="13"/>
  <c r="V397" i="13"/>
  <c r="AV397" i="13" s="1"/>
  <c r="AU397" i="13"/>
  <c r="AT397" i="13"/>
  <c r="AS397" i="13"/>
  <c r="AR397" i="13"/>
  <c r="AQ397" i="13"/>
  <c r="AW396" i="13"/>
  <c r="AV396" i="13"/>
  <c r="AU396" i="13"/>
  <c r="AT396" i="13"/>
  <c r="AS396" i="13"/>
  <c r="AR396" i="13"/>
  <c r="AQ396" i="13"/>
  <c r="AW395" i="13"/>
  <c r="AV395" i="13"/>
  <c r="AU395" i="13"/>
  <c r="AT395" i="13"/>
  <c r="R395" i="13"/>
  <c r="AR395" i="13" s="1"/>
  <c r="AQ395" i="13"/>
  <c r="W394" i="13"/>
  <c r="AX394" i="13" s="1"/>
  <c r="V394" i="13"/>
  <c r="AV394" i="13" s="1"/>
  <c r="AU394" i="13"/>
  <c r="AT394" i="13"/>
  <c r="AS394" i="13"/>
  <c r="AR394" i="13"/>
  <c r="AQ394" i="13"/>
  <c r="AW392" i="13"/>
  <c r="AV392" i="13"/>
  <c r="AU392" i="13"/>
  <c r="S392" i="13"/>
  <c r="R392" i="13"/>
  <c r="AR392" i="13" s="1"/>
  <c r="AQ392" i="13"/>
  <c r="AW391" i="13"/>
  <c r="AV391" i="13"/>
  <c r="AU391" i="13"/>
  <c r="AT391" i="13"/>
  <c r="R391" i="13"/>
  <c r="AS391" i="13" s="1"/>
  <c r="Q391" i="13"/>
  <c r="AQ391" i="13" s="1"/>
  <c r="AW390" i="13"/>
  <c r="AV390" i="13"/>
  <c r="AU390" i="13"/>
  <c r="AT390" i="13"/>
  <c r="AS390" i="13"/>
  <c r="AR390" i="13"/>
  <c r="W388" i="13"/>
  <c r="V388" i="13"/>
  <c r="AU388" i="13"/>
  <c r="AT388" i="13"/>
  <c r="AS388" i="13"/>
  <c r="AR388" i="13"/>
  <c r="AQ388" i="13"/>
  <c r="W387" i="13"/>
  <c r="AW387" i="13" s="1"/>
  <c r="AV387" i="13"/>
  <c r="AU387" i="13"/>
  <c r="AT387" i="13"/>
  <c r="AS387" i="13"/>
  <c r="AR387" i="13"/>
  <c r="AQ387" i="13"/>
  <c r="AW384" i="13"/>
  <c r="AV384" i="13"/>
  <c r="AU384" i="13"/>
  <c r="AT384" i="13"/>
  <c r="AS384" i="13"/>
  <c r="AR384" i="13"/>
  <c r="AQ384" i="13"/>
  <c r="AW383" i="13"/>
  <c r="AV383" i="13"/>
  <c r="T383" i="13"/>
  <c r="AT383" i="13" s="1"/>
  <c r="AS383" i="13"/>
  <c r="AR383" i="13"/>
  <c r="AQ383" i="13"/>
  <c r="AW382" i="13"/>
  <c r="AV382" i="13"/>
  <c r="AU382" i="13"/>
  <c r="AT382" i="13"/>
  <c r="AS382" i="13"/>
  <c r="AR382" i="13"/>
  <c r="AQ382" i="13"/>
  <c r="W380" i="13"/>
  <c r="V380" i="13"/>
  <c r="AV380" i="13" s="1"/>
  <c r="AU380" i="13"/>
  <c r="AT380" i="13"/>
  <c r="AS380" i="13"/>
  <c r="AR380" i="13"/>
  <c r="AQ380" i="13"/>
  <c r="AW379" i="13"/>
  <c r="AV379" i="13"/>
  <c r="AU379" i="13"/>
  <c r="AT379" i="13"/>
  <c r="AS379" i="13"/>
  <c r="AR379" i="13"/>
  <c r="AQ379" i="13"/>
  <c r="W378" i="13"/>
  <c r="AW378" i="13" s="1"/>
  <c r="U378" i="13"/>
  <c r="AT378" i="13"/>
  <c r="AS378" i="13"/>
  <c r="AR378" i="13"/>
  <c r="AQ378" i="13"/>
  <c r="W51" i="13"/>
  <c r="AW51" i="13" s="1"/>
  <c r="AV51" i="13"/>
  <c r="AU51" i="13"/>
  <c r="AT51" i="13"/>
  <c r="AS51" i="13"/>
  <c r="AR51" i="13"/>
  <c r="AQ51" i="13"/>
  <c r="AW375" i="13"/>
  <c r="AV375" i="13"/>
  <c r="AU375" i="13"/>
  <c r="AT375" i="13"/>
  <c r="AS375" i="13"/>
  <c r="AR375" i="13"/>
  <c r="AQ375" i="13"/>
  <c r="AW374" i="13"/>
  <c r="AV374" i="13"/>
  <c r="AU374" i="13"/>
  <c r="AT374" i="13"/>
  <c r="AS374" i="13"/>
  <c r="Q374" i="13"/>
  <c r="W372" i="13"/>
  <c r="V372" i="13"/>
  <c r="U372" i="13"/>
  <c r="T372" i="13"/>
  <c r="AT372" i="13" s="1"/>
  <c r="AS372" i="13"/>
  <c r="AR372" i="13"/>
  <c r="AQ372" i="13"/>
  <c r="W370" i="13"/>
  <c r="AV370" i="13"/>
  <c r="AU370" i="13"/>
  <c r="AT370" i="13"/>
  <c r="AS370" i="13"/>
  <c r="AR370" i="13"/>
  <c r="AQ370" i="13"/>
  <c r="AW368" i="13"/>
  <c r="U368" i="13"/>
  <c r="AV368" i="13" s="1"/>
  <c r="AT368" i="13"/>
  <c r="AS368" i="13"/>
  <c r="AR368" i="13"/>
  <c r="AQ368" i="13"/>
  <c r="AW366" i="13"/>
  <c r="AV366" i="13"/>
  <c r="AU366" i="13"/>
  <c r="AT366" i="13"/>
  <c r="AS366" i="13"/>
  <c r="Q366" i="13"/>
  <c r="AR366" i="13" s="1"/>
  <c r="AW364" i="13"/>
  <c r="AV364" i="13"/>
  <c r="T364" i="13"/>
  <c r="AU364" i="13" s="1"/>
  <c r="AS364" i="13"/>
  <c r="AR364" i="13"/>
  <c r="AQ364" i="13"/>
  <c r="AW50" i="13"/>
  <c r="AV50" i="13"/>
  <c r="AU50" i="13"/>
  <c r="AT50" i="13"/>
  <c r="AS50" i="13"/>
  <c r="AR50" i="13"/>
  <c r="AQ50" i="13"/>
  <c r="AW361" i="13"/>
  <c r="U361" i="13"/>
  <c r="T361" i="13"/>
  <c r="AT361" i="13" s="1"/>
  <c r="AS361" i="13"/>
  <c r="AR361" i="13"/>
  <c r="AQ361" i="13"/>
  <c r="AW360" i="13"/>
  <c r="AV360" i="13"/>
  <c r="AU360" i="13"/>
  <c r="S360" i="13"/>
  <c r="AR360" i="13"/>
  <c r="AQ360" i="13"/>
  <c r="W358" i="13"/>
  <c r="AV358" i="13"/>
  <c r="AU358" i="13"/>
  <c r="AT358" i="13"/>
  <c r="AS358" i="13"/>
  <c r="AR358" i="13"/>
  <c r="AQ358" i="13"/>
  <c r="W357" i="13"/>
  <c r="AW357" i="13" s="1"/>
  <c r="AV357" i="13"/>
  <c r="AU357" i="13"/>
  <c r="AT357" i="13"/>
  <c r="AS357" i="13"/>
  <c r="AR357" i="13"/>
  <c r="AQ357" i="13"/>
  <c r="W352" i="13"/>
  <c r="AX352" i="13" s="1"/>
  <c r="V352" i="13"/>
  <c r="U352" i="13"/>
  <c r="AU352" i="13" s="1"/>
  <c r="AT352" i="13"/>
  <c r="AS352" i="13"/>
  <c r="AR352" i="13"/>
  <c r="AQ352" i="13"/>
  <c r="AW350" i="13"/>
  <c r="AV350" i="13"/>
  <c r="AU350" i="13"/>
  <c r="AT350" i="13"/>
  <c r="AS350" i="13"/>
  <c r="AR350" i="13"/>
  <c r="AQ350" i="13"/>
  <c r="W28" i="13"/>
  <c r="AW28" i="13" s="1"/>
  <c r="U28" i="13"/>
  <c r="AT28" i="13"/>
  <c r="AS28" i="13"/>
  <c r="AR28" i="13"/>
  <c r="AQ28" i="13"/>
  <c r="AW348" i="13"/>
  <c r="AV348" i="13"/>
  <c r="AU348" i="13"/>
  <c r="AT348" i="13"/>
  <c r="R348" i="13"/>
  <c r="AS348" i="13" s="1"/>
  <c r="Q348" i="13"/>
  <c r="AW347" i="13"/>
  <c r="AV347" i="13"/>
  <c r="T347" i="13"/>
  <c r="AT347" i="13" s="1"/>
  <c r="AS347" i="13"/>
  <c r="AR347" i="13"/>
  <c r="AQ347" i="13"/>
  <c r="AW345" i="13"/>
  <c r="AV345" i="13"/>
  <c r="AU345" i="13"/>
  <c r="AT345" i="13"/>
  <c r="AS345" i="13"/>
  <c r="AR345" i="13"/>
  <c r="AQ345" i="13"/>
  <c r="AW343" i="13"/>
  <c r="AV343" i="13"/>
  <c r="AU343" i="13"/>
  <c r="AT343" i="13"/>
  <c r="AS343" i="13"/>
  <c r="Q343" i="13"/>
  <c r="AQ343" i="13" s="1"/>
  <c r="AW342" i="13"/>
  <c r="AV342" i="13"/>
  <c r="AU342" i="13"/>
  <c r="AT342" i="13"/>
  <c r="AS342" i="13"/>
  <c r="AR342" i="13"/>
  <c r="AW341" i="13"/>
  <c r="AV341" i="13"/>
  <c r="AU341" i="13"/>
  <c r="AT341" i="13"/>
  <c r="R341" i="13"/>
  <c r="Q341" i="13"/>
  <c r="AQ341" i="13" s="1"/>
  <c r="AW340" i="13"/>
  <c r="AV340" i="13"/>
  <c r="AU340" i="13"/>
  <c r="AT340" i="13"/>
  <c r="R340" i="13"/>
  <c r="AR340" i="13" s="1"/>
  <c r="AQ340" i="13"/>
  <c r="AW339" i="13"/>
  <c r="AV339" i="13"/>
  <c r="AU339" i="13"/>
  <c r="AT339" i="13"/>
  <c r="AS339" i="13"/>
  <c r="AR339" i="13"/>
  <c r="AQ339" i="13"/>
  <c r="AW337" i="13"/>
  <c r="AV337" i="13"/>
  <c r="AU337" i="13"/>
  <c r="AT337" i="13"/>
  <c r="AS337" i="13"/>
  <c r="Q337" i="13"/>
  <c r="AR337" i="13" s="1"/>
  <c r="W336" i="13"/>
  <c r="AW336" i="13" s="1"/>
  <c r="AV336" i="13"/>
  <c r="AU336" i="13"/>
  <c r="AT336" i="13"/>
  <c r="AS336" i="13"/>
  <c r="AR336" i="13"/>
  <c r="AQ336" i="13"/>
  <c r="AW335" i="13"/>
  <c r="AV335" i="13"/>
  <c r="AU335" i="13"/>
  <c r="AT335" i="13"/>
  <c r="AS335" i="13"/>
  <c r="AR335" i="13"/>
  <c r="AQ335" i="13"/>
  <c r="AW333" i="13"/>
  <c r="U333" i="13"/>
  <c r="AT333" i="13"/>
  <c r="AS333" i="13"/>
  <c r="AR333" i="13"/>
  <c r="AQ333" i="13"/>
  <c r="AW332" i="13"/>
  <c r="AV332" i="13"/>
  <c r="AU332" i="13"/>
  <c r="AT332" i="13"/>
  <c r="AS332" i="13"/>
  <c r="AR332" i="13"/>
  <c r="AQ332" i="13"/>
  <c r="AW331" i="13"/>
  <c r="AV331" i="13"/>
  <c r="AU331" i="13"/>
  <c r="AT331" i="13"/>
  <c r="AS331" i="13"/>
  <c r="AR331" i="13"/>
  <c r="AQ331" i="13"/>
  <c r="AW330" i="13"/>
  <c r="AV330" i="13"/>
  <c r="AU330" i="13"/>
  <c r="S330" i="13"/>
  <c r="AS330" i="13" s="1"/>
  <c r="AR330" i="13"/>
  <c r="AQ330" i="13"/>
  <c r="AW328" i="13"/>
  <c r="AV328" i="13"/>
  <c r="AU328" i="13"/>
  <c r="AT328" i="13"/>
  <c r="AS328" i="13"/>
  <c r="AR328" i="13"/>
  <c r="AQ328" i="13"/>
  <c r="AW327" i="13"/>
  <c r="AV327" i="13"/>
  <c r="AU327" i="13"/>
  <c r="AT327" i="13"/>
  <c r="R327" i="13"/>
  <c r="AS327" i="13" s="1"/>
  <c r="Q327" i="13"/>
  <c r="AQ327" i="13" s="1"/>
  <c r="AW323" i="13"/>
  <c r="AV323" i="13"/>
  <c r="AU323" i="13"/>
  <c r="AT323" i="13"/>
  <c r="AS323" i="13"/>
  <c r="AR323" i="13"/>
  <c r="AQ323" i="13"/>
  <c r="AW322" i="13"/>
  <c r="AV322" i="13"/>
  <c r="AU322" i="13"/>
  <c r="AT322" i="13"/>
  <c r="AS322" i="13"/>
  <c r="Q322" i="13"/>
  <c r="AR322" i="13" s="1"/>
  <c r="W30" i="13"/>
  <c r="AX30" i="13" s="1"/>
  <c r="AV30" i="13"/>
  <c r="AU30" i="13"/>
  <c r="AT30" i="13"/>
  <c r="AS30" i="13"/>
  <c r="AR30" i="13"/>
  <c r="AQ30" i="13"/>
  <c r="AW320" i="13"/>
  <c r="AV320" i="13"/>
  <c r="AU320" i="13"/>
  <c r="AT320" i="13"/>
  <c r="AS320" i="13"/>
  <c r="Q320" i="13"/>
  <c r="W316" i="13"/>
  <c r="AW316" i="13" s="1"/>
  <c r="AV316" i="13"/>
  <c r="AU316" i="13"/>
  <c r="AT316" i="13"/>
  <c r="AS316" i="13"/>
  <c r="AR316" i="13"/>
  <c r="AQ316" i="13"/>
  <c r="AW315" i="13"/>
  <c r="AV315" i="13"/>
  <c r="AU315" i="13"/>
  <c r="AT315" i="13"/>
  <c r="AS315" i="13"/>
  <c r="AR315" i="13"/>
  <c r="AQ315" i="13"/>
  <c r="W313" i="13"/>
  <c r="AV313" i="13"/>
  <c r="AU313" i="13"/>
  <c r="AT313" i="13"/>
  <c r="AS313" i="13"/>
  <c r="AR313" i="13"/>
  <c r="AQ313" i="13"/>
  <c r="W312" i="13"/>
  <c r="V312" i="13"/>
  <c r="AV312" i="13" s="1"/>
  <c r="AU312" i="13"/>
  <c r="AT312" i="13"/>
  <c r="AS312" i="13"/>
  <c r="AR312" i="13"/>
  <c r="AQ312" i="13"/>
  <c r="AW309" i="13"/>
  <c r="AV309" i="13"/>
  <c r="AU309" i="13"/>
  <c r="AT309" i="13"/>
  <c r="AS309" i="13"/>
  <c r="AR309" i="13"/>
  <c r="AW308" i="13"/>
  <c r="AV308" i="13"/>
  <c r="AU308" i="13"/>
  <c r="S308" i="13"/>
  <c r="Q308" i="13"/>
  <c r="AW307" i="13"/>
  <c r="AV307" i="13"/>
  <c r="AU307" i="13"/>
  <c r="AT307" i="13"/>
  <c r="AS307" i="13"/>
  <c r="AR307" i="13"/>
  <c r="AQ307" i="13"/>
  <c r="AW306" i="13"/>
  <c r="AV306" i="13"/>
  <c r="AU306" i="13"/>
  <c r="AT306" i="13"/>
  <c r="AS306" i="13"/>
  <c r="Q306" i="13"/>
  <c r="AR306" i="13" s="1"/>
  <c r="AW305" i="13"/>
  <c r="AV305" i="13"/>
  <c r="T305" i="13"/>
  <c r="AU305" i="13" s="1"/>
  <c r="S305" i="13"/>
  <c r="R305" i="13"/>
  <c r="AR305" i="13" s="1"/>
  <c r="AQ305" i="13"/>
  <c r="AW304" i="13"/>
  <c r="AV304" i="13"/>
  <c r="AU304" i="13"/>
  <c r="AT304" i="13"/>
  <c r="AS304" i="13"/>
  <c r="AR304" i="13"/>
  <c r="AQ304" i="13"/>
  <c r="AW303" i="13"/>
  <c r="AV303" i="13"/>
  <c r="T303" i="13"/>
  <c r="AU303" i="13" s="1"/>
  <c r="S303" i="13"/>
  <c r="AR303" i="13"/>
  <c r="AQ303" i="13"/>
  <c r="AW301" i="13"/>
  <c r="AV301" i="13"/>
  <c r="AU301" i="13"/>
  <c r="S301" i="13"/>
  <c r="AT301" i="13" s="1"/>
  <c r="R301" i="13"/>
  <c r="Q301" i="13"/>
  <c r="W300" i="13"/>
  <c r="AX300" i="13" s="1"/>
  <c r="AV300" i="13"/>
  <c r="AU300" i="13"/>
  <c r="AT300" i="13"/>
  <c r="AS300" i="13"/>
  <c r="AR300" i="13"/>
  <c r="AQ300" i="13"/>
  <c r="W297" i="13"/>
  <c r="AW297" i="13" s="1"/>
  <c r="AV297" i="13"/>
  <c r="AU297" i="13"/>
  <c r="AT297" i="13"/>
  <c r="AS297" i="13"/>
  <c r="AR297" i="13"/>
  <c r="AQ297" i="13"/>
  <c r="AW296" i="13"/>
  <c r="AV296" i="13"/>
  <c r="T296" i="13"/>
  <c r="AU296" i="13" s="1"/>
  <c r="S296" i="13"/>
  <c r="R296" i="13"/>
  <c r="Q296" i="13"/>
  <c r="AW24" i="13"/>
  <c r="U24" i="13"/>
  <c r="AV24" i="13" s="1"/>
  <c r="T24" i="13"/>
  <c r="AT24" i="13" s="1"/>
  <c r="AS24" i="13"/>
  <c r="AR24" i="13"/>
  <c r="AQ24" i="13"/>
  <c r="AW294" i="13"/>
  <c r="U294" i="13"/>
  <c r="AV294" i="13" s="1"/>
  <c r="T294" i="13"/>
  <c r="S294" i="13"/>
  <c r="AS294" i="13" s="1"/>
  <c r="AR294" i="13"/>
  <c r="AQ294" i="13"/>
  <c r="W293" i="13"/>
  <c r="AV293" i="13"/>
  <c r="AU293" i="13"/>
  <c r="AT293" i="13"/>
  <c r="AS293" i="13"/>
  <c r="AR293" i="13"/>
  <c r="AQ293" i="13"/>
  <c r="AW292" i="13"/>
  <c r="AV292" i="13"/>
  <c r="T292" i="13"/>
  <c r="S292" i="13"/>
  <c r="AS292" i="13" s="1"/>
  <c r="AR292" i="13"/>
  <c r="AQ292" i="13"/>
  <c r="AW291" i="13"/>
  <c r="AV291" i="13"/>
  <c r="AU291" i="13"/>
  <c r="AT291" i="13"/>
  <c r="AS291" i="13"/>
  <c r="AR291" i="13"/>
  <c r="AQ291" i="13"/>
  <c r="AW290" i="13"/>
  <c r="U290" i="13"/>
  <c r="AV290" i="13" s="1"/>
  <c r="T290" i="13"/>
  <c r="S290" i="13"/>
  <c r="R290" i="13"/>
  <c r="Q290" i="13"/>
  <c r="W289" i="13"/>
  <c r="AW289" i="13" s="1"/>
  <c r="AV289" i="13"/>
  <c r="AU289" i="13"/>
  <c r="AT289" i="13"/>
  <c r="AS289" i="13"/>
  <c r="AR289" i="13"/>
  <c r="AQ289" i="13"/>
  <c r="W36" i="13"/>
  <c r="AX36" i="13" s="1"/>
  <c r="V36" i="13"/>
  <c r="U36" i="13"/>
  <c r="AU36" i="13" s="1"/>
  <c r="AT36" i="13"/>
  <c r="AS36" i="13"/>
  <c r="AR36" i="13"/>
  <c r="AQ36" i="13"/>
  <c r="AW288" i="13"/>
  <c r="AV288" i="13"/>
  <c r="AU288" i="13"/>
  <c r="AT288" i="13"/>
  <c r="AS288" i="13"/>
  <c r="AR288" i="13"/>
  <c r="AQ288" i="13"/>
  <c r="W287" i="13"/>
  <c r="AW287" i="13" s="1"/>
  <c r="AV287" i="13"/>
  <c r="AU287" i="13"/>
  <c r="AT287" i="13"/>
  <c r="AS287" i="13"/>
  <c r="AR287" i="13"/>
  <c r="AQ287" i="13"/>
  <c r="AW286" i="13"/>
  <c r="AV286" i="13"/>
  <c r="AU286" i="13"/>
  <c r="AT286" i="13"/>
  <c r="AS286" i="13"/>
  <c r="AR286" i="13"/>
  <c r="AQ286" i="13"/>
  <c r="AW285" i="13"/>
  <c r="AV285" i="13"/>
  <c r="AU285" i="13"/>
  <c r="AT285" i="13"/>
  <c r="AS285" i="13"/>
  <c r="AR285" i="13"/>
  <c r="AQ285" i="13"/>
  <c r="W284" i="13"/>
  <c r="AX284" i="13" s="1"/>
  <c r="V284" i="13"/>
  <c r="AV284" i="13" s="1"/>
  <c r="AU284" i="13"/>
  <c r="AT284" i="13"/>
  <c r="AS284" i="13"/>
  <c r="AR284" i="13"/>
  <c r="AQ284" i="13"/>
  <c r="AW283" i="13"/>
  <c r="AV283" i="13"/>
  <c r="AU283" i="13"/>
  <c r="S283" i="13"/>
  <c r="R283" i="13"/>
  <c r="Q283" i="13"/>
  <c r="AQ283" i="13" s="1"/>
  <c r="AW279" i="13"/>
  <c r="AV279" i="13"/>
  <c r="AU279" i="13"/>
  <c r="AT279" i="13"/>
  <c r="AS279" i="13"/>
  <c r="AR279" i="13"/>
  <c r="AQ279" i="13"/>
  <c r="AW278" i="13"/>
  <c r="AV278" i="13"/>
  <c r="AU278" i="13"/>
  <c r="AT278" i="13"/>
  <c r="AS278" i="13"/>
  <c r="AR278" i="13"/>
  <c r="AW276" i="13"/>
  <c r="U276" i="13"/>
  <c r="AV276" i="13" s="1"/>
  <c r="T276" i="13"/>
  <c r="AT276" i="13" s="1"/>
  <c r="AS276" i="13"/>
  <c r="AR276" i="13"/>
  <c r="AQ276" i="13"/>
  <c r="AW275" i="13"/>
  <c r="AV275" i="13"/>
  <c r="AU275" i="13"/>
  <c r="AT275" i="13"/>
  <c r="R275" i="13"/>
  <c r="AQ275" i="13"/>
  <c r="AW274" i="13"/>
  <c r="AV274" i="13"/>
  <c r="AU274" i="13"/>
  <c r="AT274" i="13"/>
  <c r="AS274" i="13"/>
  <c r="Q274" i="13"/>
  <c r="AR274" i="13" s="1"/>
  <c r="AW273" i="13"/>
  <c r="AV273" i="13"/>
  <c r="AU273" i="13"/>
  <c r="AT273" i="13"/>
  <c r="AS273" i="13"/>
  <c r="AR273" i="13"/>
  <c r="AQ273" i="13"/>
  <c r="AW272" i="13"/>
  <c r="AV272" i="13"/>
  <c r="T272" i="13"/>
  <c r="AT272" i="13" s="1"/>
  <c r="AS272" i="13"/>
  <c r="AR272" i="13"/>
  <c r="AQ272" i="13"/>
  <c r="AW271" i="13"/>
  <c r="AV271" i="13"/>
  <c r="AU271" i="13"/>
  <c r="AT271" i="13"/>
  <c r="R271" i="13"/>
  <c r="AR271" i="13" s="1"/>
  <c r="AQ271" i="13"/>
  <c r="AW270" i="13"/>
  <c r="AV270" i="13"/>
  <c r="AU270" i="13"/>
  <c r="S270" i="13"/>
  <c r="R270" i="13"/>
  <c r="AR270" i="13" s="1"/>
  <c r="AQ270" i="13"/>
  <c r="AW269" i="13"/>
  <c r="AV269" i="13"/>
  <c r="AU269" i="13"/>
  <c r="AT269" i="13"/>
  <c r="AS269" i="13"/>
  <c r="Q269" i="13"/>
  <c r="AR269" i="13" s="1"/>
  <c r="AW267" i="13"/>
  <c r="AV267" i="13"/>
  <c r="AU267" i="13"/>
  <c r="AT267" i="13"/>
  <c r="AS267" i="13"/>
  <c r="AR267" i="13"/>
  <c r="AQ267" i="13"/>
  <c r="W264" i="13"/>
  <c r="AW264" i="13" s="1"/>
  <c r="AV264" i="13"/>
  <c r="AU264" i="13"/>
  <c r="AT264" i="13"/>
  <c r="AS264" i="13"/>
  <c r="AR264" i="13"/>
  <c r="AQ264" i="13"/>
  <c r="AW263" i="13"/>
  <c r="U263" i="13"/>
  <c r="AV263" i="13" s="1"/>
  <c r="AT263" i="13"/>
  <c r="AS263" i="13"/>
  <c r="AR263" i="13"/>
  <c r="AQ263" i="13"/>
  <c r="AW261" i="13"/>
  <c r="AV261" i="13"/>
  <c r="AU261" i="13"/>
  <c r="AT261" i="13"/>
  <c r="AS261" i="13"/>
  <c r="AR261" i="13"/>
  <c r="AW258" i="13"/>
  <c r="AV258" i="13"/>
  <c r="AU258" i="13"/>
  <c r="AT258" i="13"/>
  <c r="AS258" i="13"/>
  <c r="AR258" i="13"/>
  <c r="AW254" i="13"/>
  <c r="AV254" i="13"/>
  <c r="AU254" i="13"/>
  <c r="AT254" i="13"/>
  <c r="AS254" i="13"/>
  <c r="AR254" i="13"/>
  <c r="AQ254" i="13"/>
  <c r="AW252" i="13"/>
  <c r="AV252" i="13"/>
  <c r="AU252" i="13"/>
  <c r="AT252" i="13"/>
  <c r="AS252" i="13"/>
  <c r="Q252" i="13"/>
  <c r="AR252" i="13" s="1"/>
  <c r="AW251" i="13"/>
  <c r="AV251" i="13"/>
  <c r="AU251" i="13"/>
  <c r="S251" i="13"/>
  <c r="R251" i="13"/>
  <c r="AR251" i="13" s="1"/>
  <c r="AW250" i="13"/>
  <c r="AV250" i="13"/>
  <c r="T250" i="13"/>
  <c r="AS250" i="13"/>
  <c r="AR250" i="13"/>
  <c r="AQ250" i="13"/>
  <c r="AW249" i="13"/>
  <c r="AV249" i="13"/>
  <c r="AU249" i="13"/>
  <c r="AT249" i="13"/>
  <c r="AS249" i="13"/>
  <c r="AR249" i="13"/>
  <c r="AQ249" i="13"/>
  <c r="AW248" i="13"/>
  <c r="AV248" i="13"/>
  <c r="AU248" i="13"/>
  <c r="AT248" i="13"/>
  <c r="AS248" i="13"/>
  <c r="Q248" i="13"/>
  <c r="AR248" i="13" s="1"/>
  <c r="AW246" i="13"/>
  <c r="AV246" i="13"/>
  <c r="AU246" i="13"/>
  <c r="AT246" i="13"/>
  <c r="AS246" i="13"/>
  <c r="AR246" i="13"/>
  <c r="AW244" i="13"/>
  <c r="AV244" i="13"/>
  <c r="T244" i="13"/>
  <c r="AU244" i="13" s="1"/>
  <c r="R244" i="13"/>
  <c r="AQ244" i="13"/>
  <c r="AW241" i="13"/>
  <c r="AV241" i="13"/>
  <c r="AU241" i="13"/>
  <c r="AT241" i="13"/>
  <c r="AS241" i="13"/>
  <c r="AR241" i="13"/>
  <c r="AQ241" i="13"/>
  <c r="AW240" i="13"/>
  <c r="AV240" i="13"/>
  <c r="AU240" i="13"/>
  <c r="AT240" i="13"/>
  <c r="AS240" i="13"/>
  <c r="AR240" i="13"/>
  <c r="AQ240" i="13"/>
  <c r="AW238" i="13"/>
  <c r="AV238" i="13"/>
  <c r="AU238" i="13"/>
  <c r="AT238" i="13"/>
  <c r="R238" i="13"/>
  <c r="AR238" i="13" s="1"/>
  <c r="AQ238" i="13"/>
  <c r="AW236" i="13"/>
  <c r="AV236" i="13"/>
  <c r="AU236" i="13"/>
  <c r="AT236" i="13"/>
  <c r="AS236" i="13"/>
  <c r="Q236" i="13"/>
  <c r="AR236" i="13" s="1"/>
  <c r="AW235" i="13"/>
  <c r="AV235" i="13"/>
  <c r="T235" i="13"/>
  <c r="AS235" i="13"/>
  <c r="AR235" i="13"/>
  <c r="AQ235" i="13"/>
  <c r="AW233" i="13"/>
  <c r="AV233" i="13"/>
  <c r="AU233" i="13"/>
  <c r="AT233" i="13"/>
  <c r="R233" i="13"/>
  <c r="AR233" i="13" s="1"/>
  <c r="AQ233" i="13"/>
  <c r="AW232" i="13"/>
  <c r="U232" i="13"/>
  <c r="AV232" i="13" s="1"/>
  <c r="T232" i="13"/>
  <c r="AS232" i="13"/>
  <c r="AR232" i="13"/>
  <c r="AQ232" i="13"/>
  <c r="AW230" i="13"/>
  <c r="AV230" i="13"/>
  <c r="AU230" i="13"/>
  <c r="AT230" i="13"/>
  <c r="AS230" i="13"/>
  <c r="AR230" i="13"/>
  <c r="AQ230" i="13"/>
  <c r="AW229" i="13"/>
  <c r="AV229" i="13"/>
  <c r="AU229" i="13"/>
  <c r="AT229" i="13"/>
  <c r="AS229" i="13"/>
  <c r="AR229" i="13"/>
  <c r="AQ229" i="13"/>
  <c r="AW228" i="13"/>
  <c r="AV228" i="13"/>
  <c r="T228" i="13"/>
  <c r="AU228" i="13" s="1"/>
  <c r="S228" i="13"/>
  <c r="AR228" i="13"/>
  <c r="AQ228" i="13"/>
  <c r="AW227" i="13"/>
  <c r="AV227" i="13"/>
  <c r="AU227" i="13"/>
  <c r="S227" i="13"/>
  <c r="Q227" i="13"/>
  <c r="AR227" i="13" s="1"/>
  <c r="AW226" i="13"/>
  <c r="AV226" i="13"/>
  <c r="AU226" i="13"/>
  <c r="S226" i="13"/>
  <c r="AS226" i="13" s="1"/>
  <c r="AR226" i="13"/>
  <c r="AQ226" i="13"/>
  <c r="AW225" i="13"/>
  <c r="AV225" i="13"/>
  <c r="AU225" i="13"/>
  <c r="AT225" i="13"/>
  <c r="AS225" i="13"/>
  <c r="AR225" i="13"/>
  <c r="AQ225" i="13"/>
  <c r="AW224" i="13"/>
  <c r="AV224" i="13"/>
  <c r="T224" i="13"/>
  <c r="AS224" i="13"/>
  <c r="AR224" i="13"/>
  <c r="AQ224" i="13"/>
  <c r="AW48" i="13"/>
  <c r="AV48" i="13"/>
  <c r="AU48" i="13"/>
  <c r="AR48" i="13"/>
  <c r="AQ48" i="13"/>
  <c r="W219" i="13"/>
  <c r="AV219" i="13"/>
  <c r="AU219" i="13"/>
  <c r="AT219" i="13"/>
  <c r="AS219" i="13"/>
  <c r="AR219" i="13"/>
  <c r="AQ219" i="13"/>
  <c r="W218" i="13"/>
  <c r="AW218" i="13" s="1"/>
  <c r="AV218" i="13"/>
  <c r="AU218" i="13"/>
  <c r="AT218" i="13"/>
  <c r="AS218" i="13"/>
  <c r="AR218" i="13"/>
  <c r="AQ218" i="13"/>
  <c r="AW215" i="13"/>
  <c r="U215" i="13"/>
  <c r="AV215" i="13" s="1"/>
  <c r="AT215" i="13"/>
  <c r="AS215" i="13"/>
  <c r="AR215" i="13"/>
  <c r="AQ215" i="13"/>
  <c r="AW213" i="13"/>
  <c r="AV213" i="13"/>
  <c r="AU213" i="13"/>
  <c r="AT213" i="13"/>
  <c r="AS213" i="13"/>
  <c r="AR213" i="13"/>
  <c r="AQ213" i="13"/>
  <c r="W211" i="13"/>
  <c r="AX211" i="13" s="1"/>
  <c r="V211" i="13"/>
  <c r="AV211" i="13" s="1"/>
  <c r="AU211" i="13"/>
  <c r="AT211" i="13"/>
  <c r="AS211" i="13"/>
  <c r="AR211" i="13"/>
  <c r="AQ211" i="13"/>
  <c r="AW209" i="13"/>
  <c r="AV209" i="13"/>
  <c r="AU209" i="13"/>
  <c r="AT209" i="13"/>
  <c r="R209" i="13"/>
  <c r="AS209" i="13" s="1"/>
  <c r="Q209" i="13"/>
  <c r="AQ209" i="13" s="1"/>
  <c r="AW208" i="13"/>
  <c r="AV208" i="13"/>
  <c r="AU208" i="13"/>
  <c r="S208" i="13"/>
  <c r="AR208" i="13"/>
  <c r="AQ208" i="13"/>
  <c r="AW204" i="13"/>
  <c r="U204" i="13"/>
  <c r="AV204" i="13" s="1"/>
  <c r="AT204" i="13"/>
  <c r="AS204" i="13"/>
  <c r="AR204" i="13"/>
  <c r="AQ204" i="13"/>
  <c r="W203" i="13"/>
  <c r="AW203" i="13" s="1"/>
  <c r="AV203" i="13"/>
  <c r="AU203" i="13"/>
  <c r="AT203" i="13"/>
  <c r="AS203" i="13"/>
  <c r="AR203" i="13"/>
  <c r="AQ203" i="13"/>
  <c r="AW201" i="13"/>
  <c r="AV201" i="13"/>
  <c r="AU201" i="13"/>
  <c r="AT201" i="13"/>
  <c r="R201" i="13"/>
  <c r="AQ201" i="13"/>
  <c r="AW200" i="13"/>
  <c r="AV200" i="13"/>
  <c r="AU200" i="13"/>
  <c r="AT200" i="13"/>
  <c r="AS200" i="13"/>
  <c r="AR200" i="13"/>
  <c r="AQ200" i="13"/>
  <c r="AW199" i="13"/>
  <c r="U199" i="13"/>
  <c r="T199" i="13"/>
  <c r="S199" i="13"/>
  <c r="AS199" i="13" s="1"/>
  <c r="AR199" i="13"/>
  <c r="AQ199" i="13"/>
  <c r="AW197" i="13"/>
  <c r="AV197" i="13"/>
  <c r="AU197" i="13"/>
  <c r="AT197" i="13"/>
  <c r="AS197" i="13"/>
  <c r="AR197" i="13"/>
  <c r="AQ197" i="13"/>
  <c r="AW196" i="13"/>
  <c r="AV196" i="13"/>
  <c r="AU196" i="13"/>
  <c r="AT196" i="13"/>
  <c r="AS196" i="13"/>
  <c r="Q196" i="13"/>
  <c r="AR196" i="13" s="1"/>
  <c r="AW195" i="13"/>
  <c r="AV195" i="13"/>
  <c r="T195" i="13"/>
  <c r="AU195" i="13" s="1"/>
  <c r="AS195" i="13"/>
  <c r="AR195" i="13"/>
  <c r="AQ195" i="13"/>
  <c r="AW194" i="13"/>
  <c r="AV194" i="13"/>
  <c r="AU194" i="13"/>
  <c r="AT194" i="13"/>
  <c r="AS194" i="13"/>
  <c r="AR194" i="13"/>
  <c r="AQ194" i="13"/>
  <c r="AW193" i="13"/>
  <c r="AV193" i="13"/>
  <c r="AU193" i="13"/>
  <c r="AT193" i="13"/>
  <c r="AS193" i="13"/>
  <c r="AR193" i="13"/>
  <c r="AQ193" i="13"/>
  <c r="AW192" i="13"/>
  <c r="AV192" i="13"/>
  <c r="AU192" i="13"/>
  <c r="S192" i="13"/>
  <c r="AT192" i="13" s="1"/>
  <c r="AR192" i="13"/>
  <c r="AQ192" i="13"/>
  <c r="AW191" i="13"/>
  <c r="AV191" i="13"/>
  <c r="AU191" i="13"/>
  <c r="AT191" i="13"/>
  <c r="R191" i="13"/>
  <c r="AQ191" i="13"/>
  <c r="AW190" i="13"/>
  <c r="AV190" i="13"/>
  <c r="AU190" i="13"/>
  <c r="S190" i="13"/>
  <c r="R190" i="13"/>
  <c r="AR190" i="13" s="1"/>
  <c r="AQ190" i="13"/>
  <c r="AW188" i="13"/>
  <c r="AV188" i="13"/>
  <c r="AU188" i="13"/>
  <c r="AT188" i="13"/>
  <c r="AS188" i="13"/>
  <c r="AR188" i="13"/>
  <c r="AW187" i="13"/>
  <c r="AV187" i="13"/>
  <c r="AU187" i="13"/>
  <c r="AT187" i="13"/>
  <c r="R187" i="13"/>
  <c r="AS187" i="13" s="1"/>
  <c r="Q187" i="13"/>
  <c r="AQ187" i="13" s="1"/>
  <c r="W186" i="13"/>
  <c r="AW186" i="13" s="1"/>
  <c r="AV186" i="13"/>
  <c r="AU186" i="13"/>
  <c r="AT186" i="13"/>
  <c r="AS186" i="13"/>
  <c r="AR186" i="13"/>
  <c r="AQ186" i="13"/>
  <c r="AW185" i="13"/>
  <c r="AV185" i="13"/>
  <c r="AU185" i="13"/>
  <c r="AT185" i="13"/>
  <c r="AS185" i="13"/>
  <c r="AR185" i="13"/>
  <c r="AW184" i="13"/>
  <c r="AV184" i="13"/>
  <c r="AU184" i="13"/>
  <c r="AT184" i="13"/>
  <c r="AS184" i="13"/>
  <c r="AR184" i="13"/>
  <c r="AQ184" i="13"/>
  <c r="W182" i="13"/>
  <c r="AV182" i="13"/>
  <c r="AU182" i="13"/>
  <c r="AT182" i="13"/>
  <c r="AS182" i="13"/>
  <c r="AR182" i="13"/>
  <c r="AQ182" i="13"/>
  <c r="W181" i="13"/>
  <c r="U181" i="13"/>
  <c r="AT181" i="13"/>
  <c r="AS181" i="13"/>
  <c r="AR181" i="13"/>
  <c r="AQ181" i="13"/>
  <c r="AW180" i="13"/>
  <c r="AV180" i="13"/>
  <c r="T180" i="13"/>
  <c r="S180" i="13"/>
  <c r="AS180" i="13" s="1"/>
  <c r="AR180" i="13"/>
  <c r="AQ180" i="13"/>
  <c r="AW179" i="13"/>
  <c r="AV179" i="13"/>
  <c r="AU179" i="13"/>
  <c r="AT179" i="13"/>
  <c r="AS179" i="13"/>
  <c r="AR179" i="13"/>
  <c r="AW178" i="13"/>
  <c r="AV178" i="13"/>
  <c r="T178" i="13"/>
  <c r="AU178" i="13" s="1"/>
  <c r="AS178" i="13"/>
  <c r="AR178" i="13"/>
  <c r="AQ178" i="13"/>
  <c r="AW46" i="13"/>
  <c r="AV46" i="13"/>
  <c r="AU46" i="13"/>
  <c r="AT46" i="13"/>
  <c r="AS46" i="13"/>
  <c r="AR46" i="13"/>
  <c r="AQ46" i="13"/>
  <c r="W177" i="13"/>
  <c r="AX177" i="13" s="1"/>
  <c r="AV177" i="13"/>
  <c r="AU177" i="13"/>
  <c r="AT177" i="13"/>
  <c r="AS177" i="13"/>
  <c r="AR177" i="13"/>
  <c r="AQ177" i="13"/>
  <c r="AW176" i="13"/>
  <c r="AV176" i="13"/>
  <c r="AU176" i="13"/>
  <c r="AT176" i="13"/>
  <c r="AS176" i="13"/>
  <c r="AR176" i="13"/>
  <c r="AQ176" i="13"/>
  <c r="AW175" i="13"/>
  <c r="U175" i="13"/>
  <c r="AU175" i="13" s="1"/>
  <c r="AT175" i="13"/>
  <c r="AS175" i="13"/>
  <c r="AR175" i="13"/>
  <c r="AQ175" i="13"/>
  <c r="AW174" i="13"/>
  <c r="AV174" i="13"/>
  <c r="AU174" i="13"/>
  <c r="AT174" i="13"/>
  <c r="R174" i="13"/>
  <c r="AS174" i="13" s="1"/>
  <c r="AQ174" i="13"/>
  <c r="AW171" i="13"/>
  <c r="AV171" i="13"/>
  <c r="AU171" i="13"/>
  <c r="AT171" i="13"/>
  <c r="R171" i="13"/>
  <c r="AQ171" i="13"/>
  <c r="AW170" i="13"/>
  <c r="AV170" i="13"/>
  <c r="AU170" i="13"/>
  <c r="AT170" i="13"/>
  <c r="AS170" i="13"/>
  <c r="Q170" i="13"/>
  <c r="AW169" i="13"/>
  <c r="AV169" i="13"/>
  <c r="AU169" i="13"/>
  <c r="AT169" i="13"/>
  <c r="AS169" i="13"/>
  <c r="AR169" i="13"/>
  <c r="AQ169" i="13"/>
  <c r="AW168" i="13"/>
  <c r="U168" i="13"/>
  <c r="AV168" i="13" s="1"/>
  <c r="T168" i="13"/>
  <c r="S168" i="13"/>
  <c r="R168" i="13"/>
  <c r="AR168" i="13" s="1"/>
  <c r="AQ168" i="13"/>
  <c r="AW166" i="13"/>
  <c r="AV166" i="13"/>
  <c r="AU166" i="13"/>
  <c r="AT166" i="13"/>
  <c r="AS166" i="13"/>
  <c r="AR166" i="13"/>
  <c r="AQ166" i="13"/>
  <c r="W165" i="13"/>
  <c r="AW165" i="13" s="1"/>
  <c r="AV165" i="13"/>
  <c r="AU165" i="13"/>
  <c r="AT165" i="13"/>
  <c r="AS165" i="13"/>
  <c r="AR165" i="13"/>
  <c r="AQ165" i="13"/>
  <c r="AW164" i="13"/>
  <c r="U164" i="13"/>
  <c r="AV164" i="13" s="1"/>
  <c r="T164" i="13"/>
  <c r="AS164" i="13"/>
  <c r="AR164" i="13"/>
  <c r="AQ164" i="13"/>
  <c r="AW163" i="13"/>
  <c r="AV163" i="13"/>
  <c r="AU163" i="13"/>
  <c r="AT163" i="13"/>
  <c r="AS163" i="13"/>
  <c r="AR163" i="13"/>
  <c r="AQ163" i="13"/>
  <c r="AW162" i="13"/>
  <c r="AV162" i="13"/>
  <c r="T162" i="13"/>
  <c r="AS162" i="13"/>
  <c r="AR162" i="13"/>
  <c r="AQ162" i="13"/>
  <c r="AW161" i="13"/>
  <c r="AV161" i="13"/>
  <c r="T161" i="13"/>
  <c r="S161" i="13"/>
  <c r="AS161" i="13" s="1"/>
  <c r="AR161" i="13"/>
  <c r="AQ161" i="13"/>
  <c r="AW159" i="13"/>
  <c r="AV159" i="13"/>
  <c r="T159" i="13"/>
  <c r="AU159" i="13" s="1"/>
  <c r="AS159" i="13"/>
  <c r="AR159" i="13"/>
  <c r="AQ159" i="13"/>
  <c r="AW158" i="13"/>
  <c r="AV158" i="13"/>
  <c r="T158" i="13"/>
  <c r="AS158" i="13"/>
  <c r="AR158" i="13"/>
  <c r="AQ158" i="13"/>
  <c r="W157" i="13"/>
  <c r="AV157" i="13"/>
  <c r="AU157" i="13"/>
  <c r="AT157" i="13"/>
  <c r="AS157" i="13"/>
  <c r="AR157" i="13"/>
  <c r="AQ157" i="13"/>
  <c r="AW155" i="13"/>
  <c r="AV155" i="13"/>
  <c r="AU155" i="13"/>
  <c r="AT155" i="13"/>
  <c r="AS155" i="13"/>
  <c r="AR155" i="13"/>
  <c r="AQ155" i="13"/>
  <c r="V154" i="13"/>
  <c r="AW154" i="13" s="1"/>
  <c r="U154" i="13"/>
  <c r="AT154" i="13"/>
  <c r="AS154" i="13"/>
  <c r="AR154" i="13"/>
  <c r="AW152" i="13"/>
  <c r="AV152" i="13"/>
  <c r="AU152" i="13"/>
  <c r="AT152" i="13"/>
  <c r="AS152" i="13"/>
  <c r="Q152" i="13"/>
  <c r="AQ152" i="13" s="1"/>
  <c r="AW151" i="13"/>
  <c r="AV151" i="13"/>
  <c r="AU151" i="13"/>
  <c r="AT151" i="13"/>
  <c r="AS151" i="13"/>
  <c r="Q151" i="13"/>
  <c r="AW150" i="13"/>
  <c r="AV150" i="13"/>
  <c r="AU150" i="13"/>
  <c r="AT150" i="13"/>
  <c r="AS150" i="13"/>
  <c r="Q150" i="13"/>
  <c r="AW149" i="13"/>
  <c r="AV149" i="13"/>
  <c r="AU149" i="13"/>
  <c r="AT149" i="13"/>
  <c r="AS149" i="13"/>
  <c r="AR149" i="13"/>
  <c r="AQ149" i="13"/>
  <c r="AW148" i="13"/>
  <c r="AV148" i="13"/>
  <c r="AU148" i="13"/>
  <c r="AT148" i="13"/>
  <c r="AS148" i="13"/>
  <c r="AR148" i="13"/>
  <c r="AQ148" i="13"/>
  <c r="AW147" i="13"/>
  <c r="U147" i="13"/>
  <c r="AT147" i="13"/>
  <c r="AS147" i="13"/>
  <c r="AR147" i="13"/>
  <c r="AQ147" i="13"/>
  <c r="AW146" i="13"/>
  <c r="U146" i="13"/>
  <c r="AU146" i="13" s="1"/>
  <c r="AT146" i="13"/>
  <c r="AS146" i="13"/>
  <c r="AR146" i="13"/>
  <c r="AQ146" i="13"/>
  <c r="W144" i="13"/>
  <c r="AV144" i="13"/>
  <c r="AU144" i="13"/>
  <c r="AT144" i="13"/>
  <c r="AS144" i="13"/>
  <c r="AR144" i="13"/>
  <c r="AQ144" i="13"/>
  <c r="W141" i="13"/>
  <c r="AW141" i="13" s="1"/>
  <c r="AV141" i="13"/>
  <c r="T141" i="13"/>
  <c r="R141" i="13"/>
  <c r="AS141" i="13" s="1"/>
  <c r="Q141" i="13"/>
  <c r="AW140" i="13"/>
  <c r="U140" i="13"/>
  <c r="AV140" i="13" s="1"/>
  <c r="T140" i="13"/>
  <c r="S140" i="13"/>
  <c r="AS140" i="13" s="1"/>
  <c r="AR140" i="13"/>
  <c r="AW136" i="13"/>
  <c r="AV136" i="13"/>
  <c r="AU136" i="13"/>
  <c r="AT136" i="13"/>
  <c r="R136" i="13"/>
  <c r="AQ136" i="13"/>
  <c r="AW135" i="13"/>
  <c r="AV135" i="13"/>
  <c r="AU135" i="13"/>
  <c r="AT135" i="13"/>
  <c r="AS135" i="13"/>
  <c r="AR135" i="13"/>
  <c r="AW134" i="13"/>
  <c r="AV134" i="13"/>
  <c r="AU134" i="13"/>
  <c r="AT134" i="13"/>
  <c r="AS134" i="13"/>
  <c r="AR134" i="13"/>
  <c r="AQ134" i="13"/>
  <c r="AW132" i="13"/>
  <c r="U132" i="13"/>
  <c r="AV132" i="13" s="1"/>
  <c r="AT132" i="13"/>
  <c r="AS132" i="13"/>
  <c r="AR132" i="13"/>
  <c r="AQ132" i="13"/>
  <c r="AW131" i="13"/>
  <c r="AV131" i="13"/>
  <c r="AU131" i="13"/>
  <c r="S131" i="13"/>
  <c r="AT131" i="13" s="1"/>
  <c r="R131" i="13"/>
  <c r="AR131" i="13" s="1"/>
  <c r="AQ131" i="13"/>
  <c r="W130" i="13"/>
  <c r="AW130" i="13" s="1"/>
  <c r="AV130" i="13"/>
  <c r="AU130" i="13"/>
  <c r="AT130" i="13"/>
  <c r="AS130" i="13"/>
  <c r="AR130" i="13"/>
  <c r="AQ130" i="13"/>
  <c r="AW129" i="13"/>
  <c r="AV129" i="13"/>
  <c r="AU129" i="13"/>
  <c r="S129" i="13"/>
  <c r="AS129" i="13" s="1"/>
  <c r="AR129" i="13"/>
  <c r="AQ129" i="13"/>
  <c r="AW128" i="13"/>
  <c r="AV128" i="13"/>
  <c r="T128" i="13"/>
  <c r="AS128" i="13"/>
  <c r="AR128" i="13"/>
  <c r="AQ128" i="13"/>
  <c r="AW126" i="13"/>
  <c r="AV126" i="13"/>
  <c r="AU126" i="13"/>
  <c r="AT126" i="13"/>
  <c r="AS126" i="13"/>
  <c r="AR126" i="13"/>
  <c r="AQ126" i="13"/>
  <c r="AW125" i="13"/>
  <c r="AV125" i="13"/>
  <c r="T125" i="13"/>
  <c r="AU125" i="13" s="1"/>
  <c r="S125" i="13"/>
  <c r="AS125" i="13" s="1"/>
  <c r="AR125" i="13"/>
  <c r="AQ125" i="13"/>
  <c r="AW123" i="13"/>
  <c r="AV123" i="13"/>
  <c r="AU123" i="13"/>
  <c r="AT123" i="13"/>
  <c r="AS123" i="13"/>
  <c r="AR123" i="13"/>
  <c r="AQ123" i="13"/>
  <c r="AW120" i="13"/>
  <c r="AV120" i="13"/>
  <c r="AU120" i="13"/>
  <c r="AT120" i="13"/>
  <c r="AS120" i="13"/>
  <c r="Q120" i="13"/>
  <c r="AW119" i="13"/>
  <c r="AV119" i="13"/>
  <c r="T119" i="13"/>
  <c r="AS119" i="13"/>
  <c r="AR119" i="13"/>
  <c r="AQ119" i="13"/>
  <c r="AW118" i="13"/>
  <c r="U118" i="13"/>
  <c r="AV118" i="13" s="1"/>
  <c r="AT118" i="13"/>
  <c r="AS118" i="13"/>
  <c r="AR118" i="13"/>
  <c r="AQ118" i="13"/>
  <c r="AW117" i="13"/>
  <c r="AV117" i="13"/>
  <c r="AU117" i="13"/>
  <c r="AT117" i="13"/>
  <c r="AS117" i="13"/>
  <c r="AR117" i="13"/>
  <c r="AQ117" i="13"/>
  <c r="AW113" i="13"/>
  <c r="AV113" i="13"/>
  <c r="AU113" i="13"/>
  <c r="AT113" i="13"/>
  <c r="AS113" i="13"/>
  <c r="Q113" i="13"/>
  <c r="AQ113" i="13" s="1"/>
  <c r="AW16" i="13"/>
  <c r="AV16" i="13"/>
  <c r="T16" i="13"/>
  <c r="AU16" i="13" s="1"/>
  <c r="S16" i="13"/>
  <c r="R16" i="13"/>
  <c r="Q16" i="13"/>
  <c r="AW15" i="13"/>
  <c r="AV15" i="13"/>
  <c r="T15" i="13"/>
  <c r="S15" i="13"/>
  <c r="R15" i="13"/>
  <c r="Q15" i="13"/>
  <c r="W107" i="13"/>
  <c r="V107" i="13"/>
  <c r="U107" i="13"/>
  <c r="AU107" i="13" s="1"/>
  <c r="AT107" i="13"/>
  <c r="AS107" i="13"/>
  <c r="AR107" i="13"/>
  <c r="AQ107" i="13"/>
  <c r="AW105" i="13"/>
  <c r="AV105" i="13"/>
  <c r="AU105" i="13"/>
  <c r="S105" i="13"/>
  <c r="AT105" i="13" s="1"/>
  <c r="R105" i="13"/>
  <c r="Q105" i="13"/>
  <c r="AW104" i="13"/>
  <c r="AV104" i="13"/>
  <c r="AU104" i="13"/>
  <c r="AT104" i="13"/>
  <c r="AS104" i="13"/>
  <c r="AR104" i="13"/>
  <c r="AQ104" i="13"/>
  <c r="AW103" i="13"/>
  <c r="AV103" i="13"/>
  <c r="AU103" i="13"/>
  <c r="AT103" i="13"/>
  <c r="AS103" i="13"/>
  <c r="AR103" i="13"/>
  <c r="AQ103" i="13"/>
  <c r="AW102" i="13"/>
  <c r="AV102" i="13"/>
  <c r="T102" i="13"/>
  <c r="AS102" i="13"/>
  <c r="AR102" i="13"/>
  <c r="AQ102" i="13"/>
  <c r="AW101" i="13"/>
  <c r="AV101" i="13"/>
  <c r="AU101" i="13"/>
  <c r="AT101" i="13"/>
  <c r="AS101" i="13"/>
  <c r="AR101" i="13"/>
  <c r="AQ101" i="13"/>
  <c r="AW100" i="13"/>
  <c r="AV100" i="13"/>
  <c r="AU100" i="13"/>
  <c r="S100" i="13"/>
  <c r="R100" i="13"/>
  <c r="AR100" i="13" s="1"/>
  <c r="AQ100" i="13"/>
  <c r="AW99" i="13"/>
  <c r="AV99" i="13"/>
  <c r="AU99" i="13"/>
  <c r="AT99" i="13"/>
  <c r="AS99" i="13"/>
  <c r="AR99" i="13"/>
  <c r="AQ99" i="13"/>
  <c r="AW96" i="13"/>
  <c r="AV96" i="13"/>
  <c r="AU96" i="13"/>
  <c r="AT96" i="13"/>
  <c r="AS96" i="13"/>
  <c r="AR96" i="13"/>
  <c r="AQ96" i="13"/>
  <c r="AW94" i="13"/>
  <c r="AV94" i="13"/>
  <c r="AU94" i="13"/>
  <c r="AT94" i="13"/>
  <c r="AS94" i="13"/>
  <c r="AR94" i="13"/>
  <c r="AQ94" i="13"/>
  <c r="AW92" i="13"/>
  <c r="AV92" i="13"/>
  <c r="AU92" i="13"/>
  <c r="AT92" i="13"/>
  <c r="AS92" i="13"/>
  <c r="AR92" i="13"/>
  <c r="AQ92" i="13"/>
  <c r="W91" i="13"/>
  <c r="AW91" i="13" s="1"/>
  <c r="AV91" i="13"/>
  <c r="AU91" i="13"/>
  <c r="AT91" i="13"/>
  <c r="AS91" i="13"/>
  <c r="AR91" i="13"/>
  <c r="AQ91" i="13"/>
  <c r="W90" i="13"/>
  <c r="AW90" i="13" s="1"/>
  <c r="AV90" i="13"/>
  <c r="AU90" i="13"/>
  <c r="AT90" i="13"/>
  <c r="AS90" i="13"/>
  <c r="AR90" i="13"/>
  <c r="AQ90" i="13"/>
  <c r="AW89" i="13"/>
  <c r="AV89" i="13"/>
  <c r="AU89" i="13"/>
  <c r="AT89" i="13"/>
  <c r="AS89" i="13"/>
  <c r="AR89" i="13"/>
  <c r="AQ89" i="13"/>
  <c r="AW88" i="13"/>
  <c r="U88" i="13"/>
  <c r="T88" i="13"/>
  <c r="AT88" i="13" s="1"/>
  <c r="R88" i="13"/>
  <c r="AW87" i="13"/>
  <c r="AV87" i="13"/>
  <c r="AU87" i="13"/>
  <c r="AT87" i="13"/>
  <c r="AS87" i="13"/>
  <c r="AR87" i="13"/>
  <c r="AW84" i="13"/>
  <c r="AV84" i="13"/>
  <c r="T84" i="13"/>
  <c r="AU84" i="13" s="1"/>
  <c r="S84" i="13"/>
  <c r="R84" i="13"/>
  <c r="AQ84" i="13"/>
  <c r="AW83" i="13"/>
  <c r="AV83" i="13"/>
  <c r="AU83" i="13"/>
  <c r="AT83" i="13"/>
  <c r="AS83" i="13"/>
  <c r="AR83" i="13"/>
  <c r="AQ83" i="13"/>
  <c r="AW81" i="13"/>
  <c r="AV81" i="13"/>
  <c r="AU81" i="13"/>
  <c r="AT81" i="13"/>
  <c r="AS81" i="13"/>
  <c r="AR81" i="13"/>
  <c r="AQ81" i="13"/>
  <c r="AW79" i="13"/>
  <c r="U79" i="13"/>
  <c r="AU79" i="13" s="1"/>
  <c r="AT79" i="13"/>
  <c r="AS79" i="13"/>
  <c r="AR79" i="13"/>
  <c r="AQ79" i="13"/>
  <c r="W78" i="13"/>
  <c r="AV78" i="13"/>
  <c r="AU78" i="13"/>
  <c r="AT78" i="13"/>
  <c r="AS78" i="13"/>
  <c r="AR78" i="13"/>
  <c r="AQ78" i="13"/>
  <c r="AW75" i="13"/>
  <c r="AV75" i="13"/>
  <c r="AU75" i="13"/>
  <c r="AT75" i="13"/>
  <c r="AS75" i="13"/>
  <c r="Q75" i="13"/>
  <c r="AW74" i="13"/>
  <c r="AV74" i="13"/>
  <c r="AU74" i="13"/>
  <c r="AT74" i="13"/>
  <c r="AS74" i="13"/>
  <c r="AR74" i="13"/>
  <c r="AQ74" i="13"/>
  <c r="AW73" i="13"/>
  <c r="AV73" i="13"/>
  <c r="AU73" i="13"/>
  <c r="AT73" i="13"/>
  <c r="AS73" i="13"/>
  <c r="AR73" i="13"/>
  <c r="AQ73" i="13"/>
  <c r="AW72" i="13"/>
  <c r="AV72" i="13"/>
  <c r="AU72" i="13"/>
  <c r="AT72" i="13"/>
  <c r="AS72" i="13"/>
  <c r="AR72" i="13"/>
  <c r="AQ72" i="13"/>
  <c r="AW71" i="13"/>
  <c r="AV71" i="13"/>
  <c r="AU71" i="13"/>
  <c r="AT71" i="13"/>
  <c r="AS71" i="13"/>
  <c r="AR71" i="13"/>
  <c r="AQ71" i="13"/>
  <c r="AW70" i="13"/>
  <c r="AV70" i="13"/>
  <c r="AU70" i="13"/>
  <c r="AT70" i="13"/>
  <c r="AS70" i="13"/>
  <c r="AR70" i="13"/>
  <c r="AQ70" i="13"/>
  <c r="AW69" i="13"/>
  <c r="AV69" i="13"/>
  <c r="AU69" i="13"/>
  <c r="AT69" i="13"/>
  <c r="R69" i="13"/>
  <c r="AR69" i="13" s="1"/>
  <c r="AQ69" i="13"/>
  <c r="AW68" i="13"/>
  <c r="AV68" i="13"/>
  <c r="AU68" i="13"/>
  <c r="AT68" i="13"/>
  <c r="AS68" i="13"/>
  <c r="AR68" i="13"/>
  <c r="AW67" i="13"/>
  <c r="U67" i="13"/>
  <c r="AT67" i="13"/>
  <c r="AS67" i="13"/>
  <c r="AR67" i="13"/>
  <c r="AQ67" i="13"/>
  <c r="AW66" i="13"/>
  <c r="AV66" i="13"/>
  <c r="AU66" i="13"/>
  <c r="S66" i="13"/>
  <c r="AS66" i="13" s="1"/>
  <c r="AR66" i="13"/>
  <c r="AQ66" i="13"/>
  <c r="AW64" i="13"/>
  <c r="AV64" i="13"/>
  <c r="AU64" i="13"/>
  <c r="AT64" i="13"/>
  <c r="R64" i="13"/>
  <c r="AS64" i="13" s="1"/>
  <c r="AQ64" i="13"/>
  <c r="AW63" i="13"/>
  <c r="AV63" i="13"/>
  <c r="T63" i="13"/>
  <c r="AU63" i="13" s="1"/>
  <c r="S63" i="13"/>
  <c r="R63" i="13"/>
  <c r="Q63" i="13"/>
  <c r="AQ63" i="13" s="1"/>
  <c r="AW62" i="13"/>
  <c r="AV62" i="13"/>
  <c r="AU62" i="13"/>
  <c r="AT62" i="13"/>
  <c r="AS62" i="13"/>
  <c r="AR62" i="13"/>
  <c r="AQ62" i="13"/>
  <c r="AW61" i="13"/>
  <c r="U61" i="13"/>
  <c r="AU61" i="13" s="1"/>
  <c r="AT61" i="13"/>
  <c r="AS61" i="13"/>
  <c r="AR61" i="13"/>
  <c r="AX441" i="13"/>
  <c r="AX440" i="13"/>
  <c r="AX439" i="13"/>
  <c r="AX438" i="13"/>
  <c r="AX86" i="13"/>
  <c r="AX295" i="13"/>
  <c r="AX433" i="13"/>
  <c r="AX127" i="13"/>
  <c r="AX344" i="13"/>
  <c r="AX259" i="13"/>
  <c r="AX412" i="13"/>
  <c r="AX98" i="13"/>
  <c r="AX428" i="13"/>
  <c r="AX202" i="13"/>
  <c r="AX386" i="13"/>
  <c r="AX266" i="13"/>
  <c r="AX243" i="13"/>
  <c r="AX255" i="13"/>
  <c r="AX346" i="13"/>
  <c r="AX80" i="13"/>
  <c r="AX299" i="13"/>
  <c r="AX205" i="13"/>
  <c r="AX376" i="13"/>
  <c r="AX167" i="13"/>
  <c r="AX373" i="13"/>
  <c r="AX160" i="13"/>
  <c r="AX265" i="13"/>
  <c r="AX173" i="13"/>
  <c r="AX221" i="13"/>
  <c r="AX381" i="13"/>
  <c r="AX222" i="13"/>
  <c r="AX97" i="13"/>
  <c r="AX156" i="13"/>
  <c r="AX407" i="13"/>
  <c r="AX429" i="13"/>
  <c r="AX111" i="13"/>
  <c r="AX371" i="13"/>
  <c r="AX318" i="13"/>
  <c r="AX106" i="13"/>
  <c r="AX262" i="13"/>
  <c r="AX326" i="13"/>
  <c r="AX216" i="13"/>
  <c r="AX234" i="13"/>
  <c r="AX282" i="13"/>
  <c r="AX110" i="13"/>
  <c r="AX310" i="13"/>
  <c r="AX245" i="13"/>
  <c r="AX121" i="13"/>
  <c r="AX402" i="13"/>
  <c r="AX317" i="13"/>
  <c r="AX189" i="13"/>
  <c r="AX349" i="13"/>
  <c r="AX247" i="13"/>
  <c r="AX311" i="13"/>
  <c r="AX319" i="13"/>
  <c r="AX389" i="13"/>
  <c r="AX298" i="13"/>
  <c r="AX212" i="13"/>
  <c r="AX65" i="13"/>
  <c r="AX231" i="13"/>
  <c r="AX122" i="13"/>
  <c r="AX356" i="13"/>
  <c r="AX280" i="13"/>
  <c r="AX260" i="13"/>
  <c r="AX354" i="13"/>
  <c r="AX239" i="13"/>
  <c r="AX325" i="13"/>
  <c r="AX115" i="13"/>
  <c r="AX314" i="13"/>
  <c r="AX329" i="13"/>
  <c r="AX206" i="13"/>
  <c r="AX409" i="13"/>
  <c r="AX67" i="13"/>
  <c r="AX434" i="13"/>
  <c r="AX420" i="13"/>
  <c r="AX79" i="13"/>
  <c r="AX204" i="13"/>
  <c r="AX118" i="13"/>
  <c r="AX132" i="13"/>
  <c r="AX147" i="13"/>
  <c r="AX175" i="13"/>
  <c r="AX146" i="13"/>
  <c r="AX61" i="13"/>
  <c r="AX333" i="13"/>
  <c r="AX263" i="13"/>
  <c r="AX215" i="13"/>
  <c r="AX416" i="13"/>
  <c r="AX368" i="13"/>
  <c r="AX119" i="13"/>
  <c r="AX178" i="13"/>
  <c r="AX364" i="13"/>
  <c r="AX383" i="13"/>
  <c r="AX24" i="13"/>
  <c r="AX195" i="13"/>
  <c r="AX102" i="13"/>
  <c r="AX162" i="13"/>
  <c r="AX128" i="13"/>
  <c r="AX347" i="13"/>
  <c r="AX164" i="13"/>
  <c r="AX272" i="13"/>
  <c r="AX235" i="13"/>
  <c r="AX232" i="13"/>
  <c r="AX361" i="13"/>
  <c r="AX250" i="13"/>
  <c r="AX224" i="13"/>
  <c r="AX159" i="13"/>
  <c r="AX292" i="13"/>
  <c r="AX330" i="13"/>
  <c r="AX426" i="13"/>
  <c r="AX208" i="13"/>
  <c r="AX125" i="13"/>
  <c r="AX415" i="13"/>
  <c r="AX419" i="13"/>
  <c r="AX48" i="13"/>
  <c r="AX192" i="13"/>
  <c r="AX226" i="13"/>
  <c r="AX199" i="13"/>
  <c r="AX129" i="13"/>
  <c r="AX360" i="13"/>
  <c r="AX180" i="13"/>
  <c r="AX294" i="13"/>
  <c r="AX161" i="13"/>
  <c r="AX303" i="13"/>
  <c r="AX171" i="13"/>
  <c r="AX174" i="13"/>
  <c r="AX275" i="13"/>
  <c r="AX340" i="13"/>
  <c r="AX64" i="13"/>
  <c r="AX233" i="13"/>
  <c r="AX191" i="13"/>
  <c r="AX270" i="13"/>
  <c r="AX84" i="13"/>
  <c r="AX136" i="13"/>
  <c r="AX168" i="13"/>
  <c r="AX100" i="13"/>
  <c r="AX271" i="13"/>
  <c r="AX69" i="13"/>
  <c r="AX432" i="13"/>
  <c r="AX190" i="13"/>
  <c r="AX395" i="13"/>
  <c r="AX201" i="13"/>
  <c r="AX427" i="13"/>
  <c r="AX238" i="13"/>
  <c r="AX414" i="13"/>
  <c r="AX305" i="13"/>
  <c r="AX244" i="13"/>
  <c r="AX131" i="13"/>
  <c r="AX392" i="13"/>
  <c r="AX283" i="13"/>
  <c r="AX322" i="13"/>
  <c r="AX343" i="13"/>
  <c r="AX366" i="13"/>
  <c r="AX327" i="13"/>
  <c r="AX113" i="13"/>
  <c r="AX63" i="13"/>
  <c r="AX391" i="13"/>
  <c r="AX187" i="13"/>
  <c r="AX417" i="13"/>
  <c r="AX348" i="13"/>
  <c r="AX151" i="13"/>
  <c r="AX252" i="13"/>
  <c r="AX152" i="13"/>
  <c r="AX269" i="13"/>
  <c r="AX227" i="13"/>
  <c r="AX196" i="13"/>
  <c r="AX120" i="13"/>
  <c r="AX209" i="13"/>
  <c r="AX179" i="13"/>
  <c r="AX278" i="13"/>
  <c r="AX405" i="13"/>
  <c r="AX274" i="13"/>
  <c r="AX188" i="13"/>
  <c r="AX248" i="13"/>
  <c r="AX290" i="13"/>
  <c r="AX251" i="13"/>
  <c r="AX236" i="13"/>
  <c r="AX261" i="13"/>
  <c r="AX185" i="13"/>
  <c r="AX15" i="13"/>
  <c r="AX320" i="13"/>
  <c r="AX16" i="13"/>
  <c r="AX140" i="13"/>
  <c r="AX390" i="13"/>
  <c r="AX296" i="13"/>
  <c r="AX385" i="13"/>
  <c r="AX172" i="13"/>
  <c r="AX353" i="13"/>
  <c r="AX158" i="13"/>
  <c r="AX400" i="13"/>
  <c r="AX258" i="13"/>
  <c r="AX150" i="13"/>
  <c r="AX430" i="13"/>
  <c r="AX73" i="13"/>
  <c r="AX246" i="13"/>
  <c r="AX309" i="13"/>
  <c r="AX335" i="13"/>
  <c r="AX341" i="13"/>
  <c r="AX88" i="13"/>
  <c r="AX153" i="13"/>
  <c r="AX68" i="13"/>
  <c r="AX240" i="13"/>
  <c r="AX105" i="13"/>
  <c r="AX170" i="13"/>
  <c r="AX89" i="13"/>
  <c r="AX54" i="13"/>
  <c r="AX285" i="13"/>
  <c r="AX421" i="13"/>
  <c r="AX230" i="13"/>
  <c r="AX323" i="13"/>
  <c r="AX135" i="13"/>
  <c r="AX92" i="13"/>
  <c r="AX200" i="13"/>
  <c r="AX308" i="13"/>
  <c r="AX422" i="13"/>
  <c r="AX410" i="13"/>
  <c r="AX193" i="13"/>
  <c r="AX425" i="13"/>
  <c r="AX411" i="13"/>
  <c r="AX254" i="13"/>
  <c r="AX304" i="13"/>
  <c r="AX81" i="13"/>
  <c r="AX403" i="13"/>
  <c r="AX288" i="13"/>
  <c r="AX279" i="13"/>
  <c r="AX401" i="13"/>
  <c r="X225" i="13"/>
  <c r="AY225" i="13" s="1"/>
  <c r="X104" i="13"/>
  <c r="X46" i="13"/>
  <c r="AY46" i="13" s="1"/>
  <c r="X273" i="13"/>
  <c r="X229" i="13"/>
  <c r="AY229" i="13" s="1"/>
  <c r="X350" i="13"/>
  <c r="X78" i="13"/>
  <c r="AY78" i="13" s="1"/>
  <c r="X28" i="13"/>
  <c r="X74" i="13"/>
  <c r="X435" i="13"/>
  <c r="AY435" i="13" s="1"/>
  <c r="X267" i="13"/>
  <c r="X203" i="13"/>
  <c r="AY203" i="13" s="1"/>
  <c r="X148" i="13"/>
  <c r="X382" i="13"/>
  <c r="X186" i="13"/>
  <c r="X10" i="13"/>
  <c r="X312" i="13"/>
  <c r="X388" i="13"/>
  <c r="AY388" i="13" s="1"/>
  <c r="X62" i="13"/>
  <c r="X397" i="13"/>
  <c r="X372" i="13"/>
  <c r="X53" i="13"/>
  <c r="X336" i="13"/>
  <c r="X384" i="13"/>
  <c r="X91" i="13"/>
  <c r="X51" i="13"/>
  <c r="AY51" i="13" s="1"/>
  <c r="X218" i="13"/>
  <c r="X50" i="13"/>
  <c r="X157" i="13"/>
  <c r="AY157" i="13" s="1"/>
  <c r="AX423" i="13"/>
  <c r="AX276" i="13"/>
  <c r="AX374" i="13"/>
  <c r="AX176" i="13"/>
  <c r="AX99" i="13"/>
  <c r="AX70" i="13"/>
  <c r="AX87" i="13"/>
  <c r="AX413" i="13"/>
  <c r="AX194" i="13"/>
  <c r="AX408" i="13"/>
  <c r="AX396" i="13"/>
  <c r="AX379" i="13"/>
  <c r="AX375" i="13"/>
  <c r="AX345" i="13"/>
  <c r="AX342" i="13"/>
  <c r="AX339" i="13"/>
  <c r="AX337" i="13"/>
  <c r="AX332" i="13"/>
  <c r="AX331" i="13"/>
  <c r="AX328" i="13"/>
  <c r="AX315" i="13"/>
  <c r="AX307" i="13"/>
  <c r="AX306" i="13"/>
  <c r="AX301" i="13"/>
  <c r="AX291" i="13"/>
  <c r="AX286" i="13"/>
  <c r="AX249" i="13"/>
  <c r="AX241" i="13"/>
  <c r="AX228" i="13"/>
  <c r="AX213" i="13"/>
  <c r="AX197" i="13"/>
  <c r="AX184" i="13"/>
  <c r="AX169" i="13"/>
  <c r="AX166" i="13"/>
  <c r="AX163" i="13"/>
  <c r="AX155" i="13"/>
  <c r="AX149" i="13"/>
  <c r="AX134" i="13"/>
  <c r="AX126" i="13"/>
  <c r="AX123" i="13"/>
  <c r="AX117" i="13"/>
  <c r="AX103" i="13"/>
  <c r="AX101" i="13"/>
  <c r="AX96" i="13"/>
  <c r="AX94" i="13"/>
  <c r="AX83" i="13"/>
  <c r="AX75" i="13"/>
  <c r="AX72" i="13"/>
  <c r="AX71" i="13"/>
  <c r="AX66" i="13"/>
  <c r="AX154" i="13"/>
  <c r="AX2" i="13"/>
  <c r="Q47" i="6"/>
  <c r="F55" i="6"/>
  <c r="J55" i="6"/>
  <c r="N55" i="6"/>
  <c r="F57" i="6"/>
  <c r="J57" i="6"/>
  <c r="N57" i="6"/>
  <c r="F68" i="6"/>
  <c r="J68" i="6"/>
  <c r="N68" i="6"/>
  <c r="F54" i="6"/>
  <c r="J54" i="6"/>
  <c r="N54" i="6"/>
  <c r="F56" i="6"/>
  <c r="J56" i="6"/>
  <c r="N56" i="6"/>
  <c r="F63" i="6"/>
  <c r="J63" i="6"/>
  <c r="N63" i="6"/>
  <c r="F62" i="6"/>
  <c r="J62" i="6"/>
  <c r="N62" i="6"/>
  <c r="F71" i="6"/>
  <c r="J71" i="6"/>
  <c r="N71" i="6"/>
  <c r="F64" i="6"/>
  <c r="J64" i="6"/>
  <c r="N64" i="6"/>
  <c r="F70" i="6"/>
  <c r="J70" i="6"/>
  <c r="N70" i="6"/>
  <c r="F59" i="6"/>
  <c r="J59" i="6"/>
  <c r="N59" i="6"/>
  <c r="F60" i="6"/>
  <c r="J60" i="6"/>
  <c r="N60" i="6"/>
  <c r="F61" i="6"/>
  <c r="J61" i="6"/>
  <c r="N61" i="6"/>
  <c r="F65" i="6"/>
  <c r="J65" i="6"/>
  <c r="N65" i="6"/>
  <c r="F66" i="6"/>
  <c r="J66" i="6"/>
  <c r="N66" i="6"/>
  <c r="F67" i="6"/>
  <c r="J67" i="6"/>
  <c r="N67" i="6"/>
  <c r="F73" i="6"/>
  <c r="J73" i="6"/>
  <c r="N73" i="6"/>
  <c r="F74" i="6"/>
  <c r="J74" i="6"/>
  <c r="N74" i="6"/>
  <c r="F75" i="6"/>
  <c r="J75" i="6"/>
  <c r="N75" i="6"/>
  <c r="F76" i="6"/>
  <c r="J76" i="6"/>
  <c r="N76" i="6"/>
  <c r="F80" i="6"/>
  <c r="J80" i="6"/>
  <c r="N80" i="6"/>
  <c r="F83" i="6"/>
  <c r="J83" i="6"/>
  <c r="N83" i="6"/>
  <c r="F81" i="6"/>
  <c r="J81" i="6"/>
  <c r="N81" i="6"/>
  <c r="F82" i="6"/>
  <c r="J82" i="6"/>
  <c r="N82" i="6"/>
  <c r="F77" i="6"/>
  <c r="J77" i="6"/>
  <c r="N77" i="6"/>
  <c r="F69" i="6"/>
  <c r="J69" i="6"/>
  <c r="N69" i="6"/>
  <c r="F78" i="6"/>
  <c r="J78" i="6"/>
  <c r="N78" i="6"/>
  <c r="F84" i="6"/>
  <c r="J84" i="6"/>
  <c r="N84" i="6"/>
  <c r="F85" i="6"/>
  <c r="J85" i="6"/>
  <c r="N85" i="6"/>
  <c r="F86" i="6"/>
  <c r="J86" i="6"/>
  <c r="N86" i="6"/>
  <c r="F87" i="6"/>
  <c r="J87" i="6"/>
  <c r="N87" i="6"/>
  <c r="F88" i="6"/>
  <c r="J88" i="6"/>
  <c r="N88" i="6"/>
  <c r="F89" i="6"/>
  <c r="J89" i="6"/>
  <c r="N89" i="6"/>
  <c r="F90" i="6"/>
  <c r="J90" i="6"/>
  <c r="N90" i="6"/>
  <c r="F91" i="6"/>
  <c r="J91" i="6"/>
  <c r="N91" i="6"/>
  <c r="E93" i="6"/>
  <c r="I93" i="6"/>
  <c r="M93" i="6"/>
  <c r="AN34" i="6"/>
  <c r="AN48" i="6"/>
  <c r="AN25" i="6"/>
  <c r="AN49" i="6"/>
  <c r="AN45" i="6"/>
  <c r="AN42" i="6"/>
  <c r="AN37" i="6"/>
  <c r="AN50" i="6"/>
  <c r="AN46" i="6"/>
  <c r="AR30" i="6"/>
  <c r="AR7" i="6"/>
  <c r="AR42" i="6"/>
  <c r="AR37" i="6"/>
  <c r="AR21" i="6"/>
  <c r="AR39" i="6"/>
  <c r="AR13" i="6"/>
  <c r="AR18" i="6"/>
  <c r="AR34" i="6"/>
  <c r="AR8" i="6"/>
  <c r="AR31" i="6"/>
  <c r="AR28" i="6"/>
  <c r="AR10" i="6"/>
  <c r="AR38" i="6"/>
  <c r="AR33" i="6"/>
  <c r="AR29" i="6"/>
  <c r="AR12" i="6"/>
  <c r="AR32" i="6"/>
  <c r="AR26" i="6"/>
  <c r="AR15" i="6"/>
  <c r="AR17" i="6"/>
  <c r="AR25" i="6"/>
  <c r="AR24" i="6"/>
  <c r="AR23" i="6"/>
  <c r="AR19" i="6"/>
  <c r="AR40" i="6"/>
  <c r="AR27" i="6"/>
  <c r="AR16" i="6"/>
  <c r="AR14" i="6"/>
  <c r="AR9" i="6"/>
  <c r="AR22" i="6"/>
  <c r="AR35" i="6"/>
  <c r="AR36" i="6"/>
  <c r="AR20" i="6"/>
  <c r="AR11" i="6"/>
  <c r="AR41" i="6"/>
  <c r="AN29" i="6"/>
  <c r="AN10" i="6"/>
  <c r="AN38" i="6"/>
  <c r="AN24" i="6"/>
  <c r="AN35" i="6"/>
  <c r="AN51" i="6"/>
  <c r="AN14" i="6"/>
  <c r="AN21" i="6"/>
  <c r="AN9" i="6"/>
  <c r="AN32" i="6"/>
  <c r="AN19" i="6"/>
  <c r="AN20" i="6"/>
  <c r="AN27" i="6"/>
  <c r="AN31" i="6"/>
  <c r="AN53" i="6"/>
  <c r="AN43" i="6"/>
  <c r="AN39" i="6"/>
  <c r="AN16" i="6"/>
  <c r="AN47" i="6"/>
  <c r="AN40" i="6"/>
  <c r="AN22" i="6"/>
  <c r="AN52" i="6"/>
  <c r="AN36" i="6"/>
  <c r="AN26" i="6"/>
  <c r="AN17" i="6"/>
  <c r="AN30" i="6"/>
  <c r="AN18" i="6"/>
  <c r="AN12" i="6"/>
  <c r="AN11" i="6"/>
  <c r="AN15" i="6"/>
  <c r="AN33" i="6"/>
  <c r="AN28" i="6"/>
  <c r="AN41" i="6"/>
  <c r="AN23" i="6"/>
  <c r="AN8" i="6"/>
  <c r="AN13" i="6"/>
  <c r="AN7" i="6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AP84" i="10"/>
  <c r="AP33" i="10"/>
  <c r="AP83" i="10"/>
  <c r="AP82" i="10"/>
  <c r="AP81" i="10"/>
  <c r="AP80" i="10"/>
  <c r="AP15" i="10"/>
  <c r="AP32" i="10"/>
  <c r="AP14" i="10"/>
  <c r="AP34" i="10"/>
  <c r="AP35" i="10"/>
  <c r="AP20" i="10"/>
  <c r="AP39" i="10"/>
  <c r="AP78" i="10"/>
  <c r="AP79" i="10"/>
  <c r="AP29" i="10"/>
  <c r="AP13" i="10"/>
  <c r="AP77" i="10"/>
  <c r="AP76" i="10"/>
  <c r="AP75" i="10"/>
  <c r="AP74" i="10"/>
  <c r="AP73" i="10"/>
  <c r="AP72" i="10"/>
  <c r="AP21" i="10"/>
  <c r="AP71" i="10"/>
  <c r="AP16" i="10"/>
  <c r="AP69" i="10"/>
  <c r="AP68" i="10"/>
  <c r="AP67" i="10"/>
  <c r="AP66" i="10"/>
  <c r="AP65" i="10"/>
  <c r="AP12" i="10"/>
  <c r="AP28" i="10"/>
  <c r="AP64" i="10"/>
  <c r="AP63" i="10"/>
  <c r="AP62" i="10"/>
  <c r="AP24" i="10"/>
  <c r="AP61" i="10"/>
  <c r="AP60" i="10"/>
  <c r="AP59" i="10"/>
  <c r="AP58" i="10"/>
  <c r="AP11" i="10"/>
  <c r="AP31" i="10"/>
  <c r="AP38" i="10"/>
  <c r="AP56" i="10"/>
  <c r="AP18" i="10"/>
  <c r="AP55" i="10"/>
  <c r="AP19" i="10"/>
  <c r="AP22" i="10"/>
  <c r="AP54" i="10"/>
  <c r="AP53" i="10"/>
  <c r="AP10" i="10"/>
  <c r="AP52" i="10"/>
  <c r="AP51" i="10"/>
  <c r="AP36" i="10"/>
  <c r="AP9" i="10"/>
  <c r="AP50" i="10"/>
  <c r="AP49" i="10"/>
  <c r="AP48" i="10"/>
  <c r="AP8" i="10"/>
  <c r="AP17" i="10"/>
  <c r="AP47" i="10"/>
  <c r="AP46" i="10"/>
  <c r="AP23" i="10"/>
  <c r="AP45" i="10"/>
  <c r="AP43" i="10"/>
  <c r="AP42" i="10"/>
  <c r="AP7" i="10"/>
  <c r="AP6" i="10"/>
  <c r="AP41" i="10"/>
  <c r="AP40" i="10"/>
  <c r="AP25" i="10"/>
  <c r="AP5" i="10"/>
  <c r="AP26" i="10"/>
  <c r="AP30" i="10"/>
  <c r="AP2" i="10"/>
  <c r="O143" i="4"/>
  <c r="O145" i="4"/>
  <c r="K51" i="4"/>
  <c r="K50" i="4"/>
  <c r="O147" i="4"/>
  <c r="K145" i="4"/>
  <c r="K144" i="4"/>
  <c r="ED11" i="8"/>
  <c r="EE11" i="8" s="1"/>
  <c r="N11" i="7" s="1"/>
  <c r="ED46" i="8"/>
  <c r="EE46" i="8" s="1"/>
  <c r="N46" i="7" s="1"/>
  <c r="ED45" i="8"/>
  <c r="L45" i="7" s="1"/>
  <c r="ED44" i="8"/>
  <c r="EE44" i="8" s="1"/>
  <c r="N44" i="7" s="1"/>
  <c r="ED43" i="8"/>
  <c r="EE43" i="8" s="1"/>
  <c r="N43" i="7" s="1"/>
  <c r="ED42" i="8"/>
  <c r="EE42" i="8" s="1"/>
  <c r="N42" i="7" s="1"/>
  <c r="ED41" i="8"/>
  <c r="L41" i="7" s="1"/>
  <c r="ED40" i="8"/>
  <c r="EE40" i="8" s="1"/>
  <c r="N40" i="7" s="1"/>
  <c r="ED39" i="8"/>
  <c r="EE39" i="8" s="1"/>
  <c r="N39" i="7" s="1"/>
  <c r="ED38" i="8"/>
  <c r="L38" i="7" s="1"/>
  <c r="ED37" i="8"/>
  <c r="L37" i="7" s="1"/>
  <c r="ED36" i="8"/>
  <c r="EE36" i="8" s="1"/>
  <c r="N36" i="7" s="1"/>
  <c r="ED35" i="8"/>
  <c r="ED34" i="8"/>
  <c r="EE34" i="8" s="1"/>
  <c r="N34" i="7" s="1"/>
  <c r="ED33" i="8"/>
  <c r="ED32" i="8"/>
  <c r="EE32" i="8" s="1"/>
  <c r="N32" i="7" s="1"/>
  <c r="ED31" i="8"/>
  <c r="L31" i="7" s="1"/>
  <c r="ED30" i="8"/>
  <c r="EE30" i="8" s="1"/>
  <c r="N30" i="7" s="1"/>
  <c r="ED29" i="8"/>
  <c r="EE29" i="8" s="1"/>
  <c r="N29" i="7" s="1"/>
  <c r="ED28" i="8"/>
  <c r="L28" i="7" s="1"/>
  <c r="ED27" i="8"/>
  <c r="ED26" i="8"/>
  <c r="EE26" i="8" s="1"/>
  <c r="N26" i="7" s="1"/>
  <c r="ED25" i="8"/>
  <c r="L25" i="7" s="1"/>
  <c r="ED24" i="8"/>
  <c r="EE24" i="8" s="1"/>
  <c r="N24" i="7" s="1"/>
  <c r="ED23" i="8"/>
  <c r="EE23" i="8" s="1"/>
  <c r="N23" i="7" s="1"/>
  <c r="ED22" i="8"/>
  <c r="EE22" i="8" s="1"/>
  <c r="N22" i="7" s="1"/>
  <c r="ED21" i="8"/>
  <c r="EE21" i="8" s="1"/>
  <c r="N21" i="7" s="1"/>
  <c r="ED20" i="8"/>
  <c r="EE20" i="8" s="1"/>
  <c r="N20" i="7" s="1"/>
  <c r="ED19" i="8"/>
  <c r="L19" i="7" s="1"/>
  <c r="ED18" i="8"/>
  <c r="ED17" i="8"/>
  <c r="EE17" i="8" s="1"/>
  <c r="N17" i="7" s="1"/>
  <c r="ED16" i="8"/>
  <c r="L16" i="7" s="1"/>
  <c r="ED15" i="8"/>
  <c r="ED14" i="8"/>
  <c r="EE14" i="8" s="1"/>
  <c r="N14" i="7" s="1"/>
  <c r="ED13" i="8"/>
  <c r="ED12" i="8"/>
  <c r="L12" i="7" s="1"/>
  <c r="EA25" i="8"/>
  <c r="EC25" i="8" s="1"/>
  <c r="EA24" i="8"/>
  <c r="EC24" i="8" s="1"/>
  <c r="EA23" i="8"/>
  <c r="EC23" i="8" s="1"/>
  <c r="EA22" i="8"/>
  <c r="EC22" i="8" s="1"/>
  <c r="EA19" i="8"/>
  <c r="EC19" i="8" s="1"/>
  <c r="EA18" i="8"/>
  <c r="EC18" i="8" s="1"/>
  <c r="EA17" i="8"/>
  <c r="EC17" i="8" s="1"/>
  <c r="EA16" i="8"/>
  <c r="EC16" i="8" s="1"/>
  <c r="EA15" i="8"/>
  <c r="EC15" i="8" s="1"/>
  <c r="EA14" i="8"/>
  <c r="EC14" i="8" s="1"/>
  <c r="EA13" i="8"/>
  <c r="EC13" i="8" s="1"/>
  <c r="EA12" i="8"/>
  <c r="EC12" i="8" s="1"/>
  <c r="EA11" i="8"/>
  <c r="EC11" i="8" s="1"/>
  <c r="EA7" i="8"/>
  <c r="EC7" i="8" s="1"/>
  <c r="EA8" i="8"/>
  <c r="EC8" i="8" s="1"/>
  <c r="EA9" i="8"/>
  <c r="EC9" i="8" s="1"/>
  <c r="EA6" i="8"/>
  <c r="EC6" i="8" s="1"/>
  <c r="K209" i="4"/>
  <c r="K208" i="4"/>
  <c r="ED9" i="8"/>
  <c r="L9" i="7" s="1"/>
  <c r="H89" i="7"/>
  <c r="H76" i="7"/>
  <c r="H75" i="7"/>
  <c r="H77" i="7"/>
  <c r="H78" i="7"/>
  <c r="H79" i="7"/>
  <c r="H80" i="7"/>
  <c r="H81" i="7"/>
  <c r="H82" i="7"/>
  <c r="H83" i="7"/>
  <c r="H84" i="7"/>
  <c r="H86" i="7"/>
  <c r="H87" i="7"/>
  <c r="H88" i="7"/>
  <c r="H74" i="7"/>
  <c r="H73" i="7"/>
  <c r="E89" i="7"/>
  <c r="E76" i="7"/>
  <c r="E75" i="7"/>
  <c r="E77" i="7"/>
  <c r="E78" i="7"/>
  <c r="E79" i="7"/>
  <c r="E80" i="7"/>
  <c r="E81" i="7"/>
  <c r="E82" i="7"/>
  <c r="E83" i="7"/>
  <c r="E84" i="7"/>
  <c r="E86" i="7"/>
  <c r="E87" i="7"/>
  <c r="E88" i="7"/>
  <c r="E74" i="7"/>
  <c r="E73" i="7"/>
  <c r="ED8" i="8"/>
  <c r="L8" i="7" s="1"/>
  <c r="ED7" i="8"/>
  <c r="EE7" i="8" s="1"/>
  <c r="N7" i="7" s="1"/>
  <c r="ED6" i="8"/>
  <c r="AJ40" i="6"/>
  <c r="AF40" i="6"/>
  <c r="W40" i="6"/>
  <c r="Q40" i="6"/>
  <c r="M40" i="6"/>
  <c r="I40" i="6"/>
  <c r="E40" i="6"/>
  <c r="W14" i="6"/>
  <c r="W18" i="6"/>
  <c r="W23" i="6"/>
  <c r="W41" i="6"/>
  <c r="W21" i="6"/>
  <c r="W30" i="6"/>
  <c r="W17" i="6"/>
  <c r="W28" i="6"/>
  <c r="W26" i="6"/>
  <c r="W24" i="6"/>
  <c r="W22" i="6"/>
  <c r="W27" i="6"/>
  <c r="W25" i="6"/>
  <c r="W20" i="6"/>
  <c r="W29" i="6"/>
  <c r="W36" i="6"/>
  <c r="W19" i="6"/>
  <c r="W15" i="6"/>
  <c r="W10" i="6"/>
  <c r="W16" i="6"/>
  <c r="W13" i="6"/>
  <c r="W42" i="6"/>
  <c r="W33" i="6"/>
  <c r="W12" i="6"/>
  <c r="W8" i="6"/>
  <c r="W11" i="6"/>
  <c r="W35" i="6"/>
  <c r="W45" i="6"/>
  <c r="W34" i="6"/>
  <c r="W39" i="6"/>
  <c r="W49" i="6"/>
  <c r="W43" i="6"/>
  <c r="W37" i="6"/>
  <c r="W9" i="6"/>
  <c r="W46" i="6"/>
  <c r="W38" i="6"/>
  <c r="W50" i="6"/>
  <c r="W7" i="6"/>
  <c r="W32" i="6"/>
  <c r="W47" i="6"/>
  <c r="W51" i="6"/>
  <c r="W48" i="6"/>
  <c r="W31" i="6"/>
  <c r="W52" i="6"/>
  <c r="W53" i="6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A84" i="10"/>
  <c r="C84" i="10"/>
  <c r="AO43" i="10"/>
  <c r="AO83" i="10"/>
  <c r="AO80" i="10"/>
  <c r="AO15" i="10"/>
  <c r="AO78" i="10"/>
  <c r="AO76" i="10"/>
  <c r="AO73" i="10"/>
  <c r="AO72" i="10"/>
  <c r="AO69" i="10"/>
  <c r="AO66" i="10"/>
  <c r="AO65" i="10"/>
  <c r="AO63" i="10"/>
  <c r="AO24" i="10"/>
  <c r="AO61" i="10"/>
  <c r="AO60" i="10"/>
  <c r="AO59" i="10"/>
  <c r="AO58" i="10"/>
  <c r="AO38" i="10"/>
  <c r="AO55" i="10"/>
  <c r="AO53" i="10"/>
  <c r="AO52" i="10"/>
  <c r="AO51" i="10"/>
  <c r="AO50" i="10"/>
  <c r="AO48" i="10"/>
  <c r="AO47" i="10"/>
  <c r="AO46" i="10"/>
  <c r="AO42" i="10"/>
  <c r="AO7" i="10"/>
  <c r="AO40" i="10"/>
  <c r="AO21" i="10"/>
  <c r="AO45" i="10"/>
  <c r="AO54" i="10"/>
  <c r="AO25" i="10"/>
  <c r="AO62" i="10"/>
  <c r="AO39" i="10"/>
  <c r="AO35" i="10"/>
  <c r="AO74" i="10"/>
  <c r="AO49" i="10"/>
  <c r="AO32" i="10"/>
  <c r="AO23" i="10"/>
  <c r="AO22" i="10"/>
  <c r="AO12" i="10"/>
  <c r="AO75" i="10"/>
  <c r="AO16" i="10"/>
  <c r="AO30" i="10"/>
  <c r="AO5" i="10"/>
  <c r="AO29" i="10"/>
  <c r="AO68" i="10"/>
  <c r="AO6" i="10"/>
  <c r="AO26" i="10"/>
  <c r="AO28" i="10"/>
  <c r="AO10" i="10"/>
  <c r="AO82" i="10"/>
  <c r="AO11" i="10"/>
  <c r="AO71" i="10"/>
  <c r="AO33" i="10"/>
  <c r="AO19" i="10"/>
  <c r="AO20" i="10"/>
  <c r="AO79" i="10"/>
  <c r="AO81" i="10"/>
  <c r="AO13" i="10"/>
  <c r="AO77" i="10"/>
  <c r="AO67" i="10"/>
  <c r="AO56" i="10"/>
  <c r="AO36" i="10"/>
  <c r="AO9" i="10"/>
  <c r="AO8" i="10"/>
  <c r="AO17" i="10"/>
  <c r="AO2" i="10"/>
  <c r="K49" i="4"/>
  <c r="K48" i="4"/>
  <c r="K143" i="4"/>
  <c r="K142" i="4"/>
  <c r="P219" i="4"/>
  <c r="O219" i="4"/>
  <c r="G219" i="4"/>
  <c r="F219" i="4"/>
  <c r="E219" i="4"/>
  <c r="G218" i="4"/>
  <c r="F218" i="4"/>
  <c r="E218" i="4"/>
  <c r="J88" i="7"/>
  <c r="AW2" i="13"/>
  <c r="AV2" i="13"/>
  <c r="AU2" i="13"/>
  <c r="AT2" i="13"/>
  <c r="AS2" i="13"/>
  <c r="AR2" i="13"/>
  <c r="AQ2" i="13"/>
  <c r="E41" i="6"/>
  <c r="I41" i="6"/>
  <c r="AJ22" i="6"/>
  <c r="AJ49" i="6"/>
  <c r="AJ48" i="6"/>
  <c r="AJ47" i="6"/>
  <c r="AJ43" i="6"/>
  <c r="AJ42" i="6"/>
  <c r="AJ21" i="6"/>
  <c r="AJ33" i="6"/>
  <c r="AJ39" i="6"/>
  <c r="AJ28" i="6"/>
  <c r="AJ20" i="6"/>
  <c r="AJ32" i="6"/>
  <c r="AJ16" i="6"/>
  <c r="AJ10" i="6"/>
  <c r="AJ19" i="6"/>
  <c r="AJ24" i="6"/>
  <c r="AJ12" i="6"/>
  <c r="AJ14" i="6"/>
  <c r="AJ18" i="6"/>
  <c r="AJ9" i="6"/>
  <c r="AJ37" i="6"/>
  <c r="AJ23" i="6"/>
  <c r="AJ27" i="6"/>
  <c r="AJ17" i="6"/>
  <c r="AJ36" i="6"/>
  <c r="AJ38" i="6"/>
  <c r="AJ31" i="6"/>
  <c r="AJ26" i="6"/>
  <c r="AJ15" i="6"/>
  <c r="AJ13" i="6"/>
  <c r="AJ8" i="6"/>
  <c r="AJ25" i="6"/>
  <c r="AJ7" i="6"/>
  <c r="AJ34" i="6"/>
  <c r="AJ11" i="6"/>
  <c r="AJ30" i="6"/>
  <c r="AJ35" i="6"/>
  <c r="AJ41" i="6"/>
  <c r="AJ29" i="6"/>
  <c r="J95" i="12"/>
  <c r="M93" i="12"/>
  <c r="K42" i="12"/>
  <c r="K41" i="12"/>
  <c r="J42" i="12"/>
  <c r="J41" i="12"/>
  <c r="I42" i="12"/>
  <c r="I41" i="12"/>
  <c r="K34" i="12"/>
  <c r="K33" i="12"/>
  <c r="J34" i="12"/>
  <c r="J33" i="12"/>
  <c r="I34" i="12"/>
  <c r="I33" i="12"/>
  <c r="K30" i="12"/>
  <c r="K31" i="12" s="1"/>
  <c r="J30" i="12"/>
  <c r="J31" i="12" s="1"/>
  <c r="I30" i="12"/>
  <c r="I13" i="12"/>
  <c r="M13" i="12" s="1"/>
  <c r="I14" i="12"/>
  <c r="K15" i="12"/>
  <c r="L10" i="12"/>
  <c r="J10" i="12"/>
  <c r="J9" i="12"/>
  <c r="I10" i="12"/>
  <c r="I9" i="12"/>
  <c r="M6" i="12"/>
  <c r="K46" i="12"/>
  <c r="K45" i="12"/>
  <c r="J46" i="12"/>
  <c r="J45" i="12"/>
  <c r="I46" i="12"/>
  <c r="I45" i="12"/>
  <c r="K50" i="12"/>
  <c r="K49" i="12"/>
  <c r="J50" i="12"/>
  <c r="J49" i="12"/>
  <c r="I50" i="12"/>
  <c r="I49" i="12"/>
  <c r="K54" i="12"/>
  <c r="K53" i="12"/>
  <c r="J54" i="12"/>
  <c r="J53" i="12"/>
  <c r="M53" i="12" s="1"/>
  <c r="I54" i="12"/>
  <c r="I53" i="12"/>
  <c r="K58" i="12"/>
  <c r="K57" i="12"/>
  <c r="I57" i="12"/>
  <c r="J57" i="12"/>
  <c r="J58" i="12"/>
  <c r="I58" i="12"/>
  <c r="I59" i="12" s="1"/>
  <c r="K62" i="12"/>
  <c r="K61" i="12"/>
  <c r="J62" i="12"/>
  <c r="J61" i="12"/>
  <c r="I62" i="12"/>
  <c r="I61" i="12"/>
  <c r="K66" i="12"/>
  <c r="K65" i="12"/>
  <c r="J66" i="12"/>
  <c r="J65" i="12"/>
  <c r="I66" i="12"/>
  <c r="I65" i="12"/>
  <c r="K86" i="12"/>
  <c r="K85" i="12"/>
  <c r="J86" i="12"/>
  <c r="J85" i="12"/>
  <c r="I86" i="12"/>
  <c r="I85" i="12"/>
  <c r="K90" i="12"/>
  <c r="K89" i="12"/>
  <c r="J90" i="12"/>
  <c r="J89" i="12"/>
  <c r="I90" i="12"/>
  <c r="I89" i="12"/>
  <c r="I79" i="12"/>
  <c r="K38" i="12"/>
  <c r="J38" i="12"/>
  <c r="I38" i="12"/>
  <c r="K37" i="12"/>
  <c r="K39" i="12" s="1"/>
  <c r="J37" i="12"/>
  <c r="I37" i="12"/>
  <c r="J23" i="12"/>
  <c r="I19" i="12"/>
  <c r="K7" i="12"/>
  <c r="P189" i="4"/>
  <c r="O189" i="4"/>
  <c r="G189" i="4"/>
  <c r="G188" i="4"/>
  <c r="F189" i="4"/>
  <c r="F188" i="4"/>
  <c r="E189" i="4"/>
  <c r="E188" i="4"/>
  <c r="P187" i="4"/>
  <c r="O187" i="4"/>
  <c r="E186" i="4"/>
  <c r="F186" i="4"/>
  <c r="G186" i="4"/>
  <c r="E187" i="4"/>
  <c r="F187" i="4"/>
  <c r="G187" i="4"/>
  <c r="K46" i="4"/>
  <c r="K47" i="4"/>
  <c r="O141" i="4"/>
  <c r="K140" i="4"/>
  <c r="K141" i="4"/>
  <c r="AN78" i="10"/>
  <c r="AM78" i="10"/>
  <c r="AL78" i="10"/>
  <c r="AK78" i="10"/>
  <c r="AJ78" i="10"/>
  <c r="AI78" i="10"/>
  <c r="AH78" i="10"/>
  <c r="AG78" i="10"/>
  <c r="AF78" i="10"/>
  <c r="AE78" i="10"/>
  <c r="AD78" i="10"/>
  <c r="AC78" i="10"/>
  <c r="AB78" i="10"/>
  <c r="AA78" i="10"/>
  <c r="Z78" i="10"/>
  <c r="Y78" i="10"/>
  <c r="AN43" i="10"/>
  <c r="AN83" i="10"/>
  <c r="AN81" i="10"/>
  <c r="AN80" i="10"/>
  <c r="AN15" i="10"/>
  <c r="AN13" i="10"/>
  <c r="AN76" i="10"/>
  <c r="AN74" i="10"/>
  <c r="AN73" i="10"/>
  <c r="AN72" i="10"/>
  <c r="AN71" i="10"/>
  <c r="AN69" i="10"/>
  <c r="AN68" i="10"/>
  <c r="AN67" i="10"/>
  <c r="AN66" i="10"/>
  <c r="AN65" i="10"/>
  <c r="AN63" i="10"/>
  <c r="AN62" i="10"/>
  <c r="AN61" i="10"/>
  <c r="AN60" i="10"/>
  <c r="AN59" i="10"/>
  <c r="AN11" i="10"/>
  <c r="AN56" i="10"/>
  <c r="AN55" i="10"/>
  <c r="AN54" i="10"/>
  <c r="AN52" i="10"/>
  <c r="AN51" i="10"/>
  <c r="AN50" i="10"/>
  <c r="AN48" i="10"/>
  <c r="AN47" i="10"/>
  <c r="AN46" i="10"/>
  <c r="AN42" i="10"/>
  <c r="AN45" i="10"/>
  <c r="AN40" i="10"/>
  <c r="AN10" i="10"/>
  <c r="AN49" i="10"/>
  <c r="AN32" i="10"/>
  <c r="AN79" i="10"/>
  <c r="AN75" i="10"/>
  <c r="AN33" i="10"/>
  <c r="AN19" i="10"/>
  <c r="AN29" i="10"/>
  <c r="AN17" i="10"/>
  <c r="AN20" i="10"/>
  <c r="AN30" i="10"/>
  <c r="AN82" i="10"/>
  <c r="AN28" i="10"/>
  <c r="AN36" i="10"/>
  <c r="AN21" i="10"/>
  <c r="AN22" i="10"/>
  <c r="AN23" i="10"/>
  <c r="AN77" i="10"/>
  <c r="AN12" i="10"/>
  <c r="AN6" i="10"/>
  <c r="AN25" i="10"/>
  <c r="AN26" i="10"/>
  <c r="AN5" i="10"/>
  <c r="AN16" i="10"/>
  <c r="AN8" i="10"/>
  <c r="AN9" i="10"/>
  <c r="AN39" i="10"/>
  <c r="AN35" i="10"/>
  <c r="AN53" i="10"/>
  <c r="AN38" i="10"/>
  <c r="AN58" i="10"/>
  <c r="AN24" i="10"/>
  <c r="AN7" i="10"/>
  <c r="AN2" i="10"/>
  <c r="K216" i="4"/>
  <c r="K217" i="4"/>
  <c r="O139" i="4"/>
  <c r="K138" i="4"/>
  <c r="K139" i="4"/>
  <c r="Q39" i="6"/>
  <c r="M39" i="6"/>
  <c r="E39" i="6"/>
  <c r="I39" i="6"/>
  <c r="AF27" i="6"/>
  <c r="AF48" i="6"/>
  <c r="AF34" i="6"/>
  <c r="AF28" i="6"/>
  <c r="AF49" i="6"/>
  <c r="AF19" i="6"/>
  <c r="AF38" i="6"/>
  <c r="AF33" i="6"/>
  <c r="AF43" i="6"/>
  <c r="AF24" i="6"/>
  <c r="AF32" i="6"/>
  <c r="AF37" i="6"/>
  <c r="AF15" i="6"/>
  <c r="AF18" i="6"/>
  <c r="AF9" i="6"/>
  <c r="AF12" i="6"/>
  <c r="AF14" i="6"/>
  <c r="AF21" i="6"/>
  <c r="AF31" i="6"/>
  <c r="AF11" i="6"/>
  <c r="AF23" i="6"/>
  <c r="AF26" i="6"/>
  <c r="AF30" i="6"/>
  <c r="AF36" i="6"/>
  <c r="AF47" i="6"/>
  <c r="AF17" i="6"/>
  <c r="AF10" i="6"/>
  <c r="AF29" i="6"/>
  <c r="AF35" i="6"/>
  <c r="AF20" i="6"/>
  <c r="AF8" i="6"/>
  <c r="AF7" i="6"/>
  <c r="AF42" i="6"/>
  <c r="AF13" i="6"/>
  <c r="AF25" i="6"/>
  <c r="AF39" i="6"/>
  <c r="AF22" i="6"/>
  <c r="AF16" i="6"/>
  <c r="AL43" i="10"/>
  <c r="AK43" i="10"/>
  <c r="AJ43" i="10"/>
  <c r="AI43" i="10"/>
  <c r="AL33" i="10"/>
  <c r="AK33" i="10"/>
  <c r="AJ33" i="10"/>
  <c r="AI33" i="10"/>
  <c r="AL83" i="10"/>
  <c r="AK83" i="10"/>
  <c r="AJ83" i="10"/>
  <c r="AI83" i="10"/>
  <c r="AL82" i="10"/>
  <c r="AK82" i="10"/>
  <c r="AJ82" i="10"/>
  <c r="AI82" i="10"/>
  <c r="AL81" i="10"/>
  <c r="AK81" i="10"/>
  <c r="AJ81" i="10"/>
  <c r="AI81" i="10"/>
  <c r="AL80" i="10"/>
  <c r="AK80" i="10"/>
  <c r="AJ80" i="10"/>
  <c r="AI80" i="10"/>
  <c r="AL15" i="10"/>
  <c r="AK15" i="10"/>
  <c r="AJ15" i="10"/>
  <c r="AI15" i="10"/>
  <c r="AL32" i="10"/>
  <c r="AK32" i="10"/>
  <c r="AJ32" i="10"/>
  <c r="AI32" i="10"/>
  <c r="AL35" i="10"/>
  <c r="AK35" i="10"/>
  <c r="AJ35" i="10"/>
  <c r="AI35" i="10"/>
  <c r="AL20" i="10"/>
  <c r="AK20" i="10"/>
  <c r="AJ20" i="10"/>
  <c r="AI20" i="10"/>
  <c r="AL39" i="10"/>
  <c r="AK39" i="10"/>
  <c r="AJ39" i="10"/>
  <c r="AI39" i="10"/>
  <c r="AL79" i="10"/>
  <c r="AK79" i="10"/>
  <c r="AJ79" i="10"/>
  <c r="AI79" i="10"/>
  <c r="AL29" i="10"/>
  <c r="AK29" i="10"/>
  <c r="AJ29" i="10"/>
  <c r="AI29" i="10"/>
  <c r="AL13" i="10"/>
  <c r="AK13" i="10"/>
  <c r="AJ13" i="10"/>
  <c r="AI13" i="10"/>
  <c r="AL77" i="10"/>
  <c r="AK77" i="10"/>
  <c r="AJ77" i="10"/>
  <c r="AI77" i="10"/>
  <c r="AL76" i="10"/>
  <c r="AK76" i="10"/>
  <c r="AJ76" i="10"/>
  <c r="AI76" i="10"/>
  <c r="AL75" i="10"/>
  <c r="AK75" i="10"/>
  <c r="AJ75" i="10"/>
  <c r="AI75" i="10"/>
  <c r="AL74" i="10"/>
  <c r="AK74" i="10"/>
  <c r="AJ74" i="10"/>
  <c r="AI74" i="10"/>
  <c r="AL73" i="10"/>
  <c r="AK73" i="10"/>
  <c r="AJ73" i="10"/>
  <c r="AI73" i="10"/>
  <c r="AL72" i="10"/>
  <c r="AK72" i="10"/>
  <c r="AJ72" i="10"/>
  <c r="AI72" i="10"/>
  <c r="AL21" i="10"/>
  <c r="AK21" i="10"/>
  <c r="AJ21" i="10"/>
  <c r="AI21" i="10"/>
  <c r="AL71" i="10"/>
  <c r="AK71" i="10"/>
  <c r="AJ71" i="10"/>
  <c r="AI71" i="10"/>
  <c r="AL16" i="10"/>
  <c r="AK16" i="10"/>
  <c r="AJ16" i="10"/>
  <c r="AI16" i="10"/>
  <c r="AL69" i="10"/>
  <c r="AK69" i="10"/>
  <c r="AJ69" i="10"/>
  <c r="AI69" i="10"/>
  <c r="AL68" i="10"/>
  <c r="AK68" i="10"/>
  <c r="AJ68" i="10"/>
  <c r="AI68" i="10"/>
  <c r="AL67" i="10"/>
  <c r="AK67" i="10"/>
  <c r="AJ67" i="10"/>
  <c r="AI67" i="10"/>
  <c r="AL66" i="10"/>
  <c r="AK66" i="10"/>
  <c r="AJ66" i="10"/>
  <c r="AI66" i="10"/>
  <c r="AL65" i="10"/>
  <c r="AK65" i="10"/>
  <c r="AJ65" i="10"/>
  <c r="AI65" i="10"/>
  <c r="AL12" i="10"/>
  <c r="AK12" i="10"/>
  <c r="AJ12" i="10"/>
  <c r="AI12" i="10"/>
  <c r="AL28" i="10"/>
  <c r="AK28" i="10"/>
  <c r="AJ28" i="10"/>
  <c r="AI28" i="10"/>
  <c r="AL63" i="10"/>
  <c r="AK63" i="10"/>
  <c r="AJ63" i="10"/>
  <c r="AI63" i="10"/>
  <c r="AL62" i="10"/>
  <c r="AK62" i="10"/>
  <c r="AJ62" i="10"/>
  <c r="AI62" i="10"/>
  <c r="AL24" i="10"/>
  <c r="AK24" i="10"/>
  <c r="AJ24" i="10"/>
  <c r="AI24" i="10"/>
  <c r="AL61" i="10"/>
  <c r="AK61" i="10"/>
  <c r="AJ61" i="10"/>
  <c r="AI61" i="10"/>
  <c r="AL60" i="10"/>
  <c r="AK60" i="10"/>
  <c r="AJ60" i="10"/>
  <c r="AI60" i="10"/>
  <c r="AL59" i="10"/>
  <c r="AK59" i="10"/>
  <c r="AJ59" i="10"/>
  <c r="AI59" i="10"/>
  <c r="AL58" i="10"/>
  <c r="AK58" i="10"/>
  <c r="AJ58" i="10"/>
  <c r="AI58" i="10"/>
  <c r="AL11" i="10"/>
  <c r="AK11" i="10"/>
  <c r="AJ11" i="10"/>
  <c r="AI11" i="10"/>
  <c r="AL38" i="10"/>
  <c r="AK38" i="10"/>
  <c r="AJ38" i="10"/>
  <c r="AI38" i="10"/>
  <c r="AL56" i="10"/>
  <c r="AK56" i="10"/>
  <c r="AJ56" i="10"/>
  <c r="AI56" i="10"/>
  <c r="AL55" i="10"/>
  <c r="AK55" i="10"/>
  <c r="AJ55" i="10"/>
  <c r="AI55" i="10"/>
  <c r="AL19" i="10"/>
  <c r="AK19" i="10"/>
  <c r="AJ19" i="10"/>
  <c r="AI19" i="10"/>
  <c r="AL22" i="10"/>
  <c r="AK22" i="10"/>
  <c r="AJ22" i="10"/>
  <c r="AI22" i="10"/>
  <c r="AL54" i="10"/>
  <c r="AK54" i="10"/>
  <c r="AJ54" i="10"/>
  <c r="AI54" i="10"/>
  <c r="AL53" i="10"/>
  <c r="AK53" i="10"/>
  <c r="AJ53" i="10"/>
  <c r="AI53" i="10"/>
  <c r="AL10" i="10"/>
  <c r="AK10" i="10"/>
  <c r="AJ10" i="10"/>
  <c r="AI10" i="10"/>
  <c r="AL52" i="10"/>
  <c r="AK52" i="10"/>
  <c r="AJ52" i="10"/>
  <c r="AI52" i="10"/>
  <c r="AL51" i="10"/>
  <c r="AK51" i="10"/>
  <c r="AJ51" i="10"/>
  <c r="AI51" i="10"/>
  <c r="AL36" i="10"/>
  <c r="AK36" i="10"/>
  <c r="AJ36" i="10"/>
  <c r="AI36" i="10"/>
  <c r="AL9" i="10"/>
  <c r="AK9" i="10"/>
  <c r="AJ9" i="10"/>
  <c r="AI9" i="10"/>
  <c r="AL50" i="10"/>
  <c r="AK50" i="10"/>
  <c r="AJ50" i="10"/>
  <c r="AI50" i="10"/>
  <c r="AL49" i="10"/>
  <c r="AK49" i="10"/>
  <c r="AJ49" i="10"/>
  <c r="AI49" i="10"/>
  <c r="AL48" i="10"/>
  <c r="AK48" i="10"/>
  <c r="AJ48" i="10"/>
  <c r="AI48" i="10"/>
  <c r="AL8" i="10"/>
  <c r="AK8" i="10"/>
  <c r="AJ8" i="10"/>
  <c r="AI8" i="10"/>
  <c r="AL17" i="10"/>
  <c r="AK17" i="10"/>
  <c r="AJ17" i="10"/>
  <c r="AI17" i="10"/>
  <c r="AL47" i="10"/>
  <c r="AK47" i="10"/>
  <c r="AJ47" i="10"/>
  <c r="AI47" i="10"/>
  <c r="AL46" i="10"/>
  <c r="AK46" i="10"/>
  <c r="AJ46" i="10"/>
  <c r="AI46" i="10"/>
  <c r="AL23" i="10"/>
  <c r="AK23" i="10"/>
  <c r="AJ23" i="10"/>
  <c r="AI23" i="10"/>
  <c r="AL42" i="10"/>
  <c r="AK42" i="10"/>
  <c r="AJ42" i="10"/>
  <c r="AI42" i="10"/>
  <c r="AL7" i="10"/>
  <c r="AK7" i="10"/>
  <c r="AJ7" i="10"/>
  <c r="AI7" i="10"/>
  <c r="AL6" i="10"/>
  <c r="AK6" i="10"/>
  <c r="AJ6" i="10"/>
  <c r="AI6" i="10"/>
  <c r="AL45" i="10"/>
  <c r="AK45" i="10"/>
  <c r="AJ45" i="10"/>
  <c r="AI45" i="10"/>
  <c r="AL40" i="10"/>
  <c r="AK40" i="10"/>
  <c r="AJ40" i="10"/>
  <c r="AI40" i="10"/>
  <c r="AL25" i="10"/>
  <c r="AK25" i="10"/>
  <c r="AJ25" i="10"/>
  <c r="AI25" i="10"/>
  <c r="AL5" i="10"/>
  <c r="AK5" i="10"/>
  <c r="AJ5" i="10"/>
  <c r="AI5" i="10"/>
  <c r="AL26" i="10"/>
  <c r="AK26" i="10"/>
  <c r="AJ26" i="10"/>
  <c r="AI26" i="10"/>
  <c r="AM26" i="10"/>
  <c r="AM5" i="10"/>
  <c r="AM25" i="10"/>
  <c r="AM40" i="10"/>
  <c r="AM45" i="10"/>
  <c r="AM6" i="10"/>
  <c r="AM7" i="10"/>
  <c r="AM42" i="10"/>
  <c r="AM23" i="10"/>
  <c r="AM46" i="10"/>
  <c r="AM47" i="10"/>
  <c r="AM17" i="10"/>
  <c r="AM8" i="10"/>
  <c r="AM48" i="10"/>
  <c r="AM49" i="10"/>
  <c r="AM50" i="10"/>
  <c r="AM9" i="10"/>
  <c r="AM36" i="10"/>
  <c r="AM51" i="10"/>
  <c r="AM52" i="10"/>
  <c r="AM10" i="10"/>
  <c r="AM53" i="10"/>
  <c r="AM54" i="10"/>
  <c r="AM22" i="10"/>
  <c r="AM19" i="10"/>
  <c r="AM55" i="10"/>
  <c r="AM56" i="10"/>
  <c r="AM38" i="10"/>
  <c r="AM11" i="10"/>
  <c r="AM58" i="10"/>
  <c r="AM59" i="10"/>
  <c r="AM60" i="10"/>
  <c r="AM61" i="10"/>
  <c r="AM24" i="10"/>
  <c r="AM62" i="10"/>
  <c r="AM63" i="10"/>
  <c r="AM28" i="10"/>
  <c r="AM12" i="10"/>
  <c r="AM65" i="10"/>
  <c r="AM66" i="10"/>
  <c r="AM67" i="10"/>
  <c r="AM68" i="10"/>
  <c r="AM69" i="10"/>
  <c r="AM16" i="10"/>
  <c r="AM71" i="10"/>
  <c r="AM21" i="10"/>
  <c r="AM72" i="10"/>
  <c r="AM73" i="10"/>
  <c r="AM74" i="10"/>
  <c r="AM75" i="10"/>
  <c r="AM76" i="10"/>
  <c r="AM77" i="10"/>
  <c r="AM13" i="10"/>
  <c r="AM29" i="10"/>
  <c r="AM79" i="10"/>
  <c r="AM39" i="10"/>
  <c r="AM20" i="10"/>
  <c r="AM35" i="10"/>
  <c r="AM32" i="10"/>
  <c r="AM15" i="10"/>
  <c r="AM80" i="10"/>
  <c r="AM81" i="10"/>
  <c r="AM82" i="10"/>
  <c r="AM83" i="10"/>
  <c r="AM33" i="10"/>
  <c r="AM43" i="10"/>
  <c r="AM30" i="10"/>
  <c r="AM2" i="10"/>
  <c r="K214" i="4"/>
  <c r="K215" i="4"/>
  <c r="L215" i="4" s="1"/>
  <c r="N215" i="4" s="1"/>
  <c r="O137" i="4"/>
  <c r="K136" i="4"/>
  <c r="K137" i="4"/>
  <c r="K56" i="4"/>
  <c r="K57" i="4"/>
  <c r="K44" i="4"/>
  <c r="K45" i="4"/>
  <c r="K42" i="4"/>
  <c r="K43" i="4"/>
  <c r="C46" i="10"/>
  <c r="Z46" i="10" s="1"/>
  <c r="B46" i="10"/>
  <c r="C22" i="10"/>
  <c r="Y22" i="10" s="1"/>
  <c r="B22" i="10"/>
  <c r="B81" i="10"/>
  <c r="Y81" i="10" s="1"/>
  <c r="B63" i="10"/>
  <c r="Y63" i="10" s="1"/>
  <c r="Z43" i="10"/>
  <c r="Y33" i="10"/>
  <c r="C83" i="10"/>
  <c r="Z83" i="10" s="1"/>
  <c r="B83" i="10"/>
  <c r="Y82" i="10"/>
  <c r="Y80" i="10"/>
  <c r="C15" i="10"/>
  <c r="Z15" i="10" s="1"/>
  <c r="B15" i="10"/>
  <c r="Y32" i="10"/>
  <c r="C35" i="10"/>
  <c r="B35" i="10"/>
  <c r="C20" i="10"/>
  <c r="B20" i="10"/>
  <c r="Y39" i="10"/>
  <c r="C79" i="10"/>
  <c r="B79" i="10"/>
  <c r="Y29" i="10"/>
  <c r="Y13" i="10"/>
  <c r="C77" i="10"/>
  <c r="B77" i="10"/>
  <c r="C76" i="10"/>
  <c r="Y76" i="10" s="1"/>
  <c r="C75" i="10"/>
  <c r="B75" i="10"/>
  <c r="C74" i="10"/>
  <c r="B74" i="10"/>
  <c r="C73" i="10"/>
  <c r="C72" i="10"/>
  <c r="Z72" i="10" s="1"/>
  <c r="B72" i="10"/>
  <c r="Y21" i="10"/>
  <c r="C71" i="10"/>
  <c r="C16" i="10"/>
  <c r="B16" i="10"/>
  <c r="C69" i="10"/>
  <c r="Y68" i="10"/>
  <c r="C67" i="10"/>
  <c r="B67" i="10"/>
  <c r="Y66" i="10"/>
  <c r="C65" i="10"/>
  <c r="B65" i="10"/>
  <c r="C12" i="10"/>
  <c r="B12" i="10"/>
  <c r="C28" i="10"/>
  <c r="B28" i="10"/>
  <c r="C62" i="10"/>
  <c r="B62" i="10"/>
  <c r="B24" i="10"/>
  <c r="Y24" i="10" s="1"/>
  <c r="B61" i="10"/>
  <c r="Y61" i="10" s="1"/>
  <c r="Y60" i="10"/>
  <c r="C59" i="10"/>
  <c r="Z59" i="10" s="1"/>
  <c r="B59" i="10"/>
  <c r="Y58" i="10"/>
  <c r="Y11" i="10"/>
  <c r="Y38" i="10"/>
  <c r="Y56" i="10"/>
  <c r="Y55" i="10"/>
  <c r="Y19" i="10"/>
  <c r="C54" i="10"/>
  <c r="B54" i="10"/>
  <c r="Y53" i="10"/>
  <c r="Y10" i="10"/>
  <c r="Y52" i="10"/>
  <c r="C51" i="10"/>
  <c r="Z51" i="10" s="1"/>
  <c r="B51" i="10"/>
  <c r="C36" i="10"/>
  <c r="Z36" i="10" s="1"/>
  <c r="C9" i="10"/>
  <c r="Z9" i="10" s="1"/>
  <c r="B9" i="10"/>
  <c r="C50" i="10"/>
  <c r="B50" i="10"/>
  <c r="C49" i="10"/>
  <c r="C48" i="10"/>
  <c r="Y48" i="10" s="1"/>
  <c r="B8" i="10"/>
  <c r="Y8" i="10" s="1"/>
  <c r="C17" i="10"/>
  <c r="Y17" i="10" s="1"/>
  <c r="Y47" i="10"/>
  <c r="C23" i="10"/>
  <c r="Y23" i="10" s="1"/>
  <c r="C42" i="10"/>
  <c r="B42" i="10"/>
  <c r="C7" i="10"/>
  <c r="B7" i="10"/>
  <c r="C6" i="10"/>
  <c r="B6" i="10"/>
  <c r="C45" i="10"/>
  <c r="B45" i="10"/>
  <c r="Y40" i="10"/>
  <c r="C25" i="10"/>
  <c r="B25" i="10"/>
  <c r="C5" i="10"/>
  <c r="B5" i="10"/>
  <c r="C26" i="10"/>
  <c r="B26" i="10"/>
  <c r="Y30" i="10"/>
  <c r="AH81" i="10"/>
  <c r="AG81" i="10"/>
  <c r="AF81" i="10"/>
  <c r="AE81" i="10"/>
  <c r="AD81" i="10"/>
  <c r="AC81" i="10"/>
  <c r="AB81" i="10"/>
  <c r="AA81" i="10"/>
  <c r="Z81" i="10"/>
  <c r="AH63" i="10"/>
  <c r="AG63" i="10"/>
  <c r="AF63" i="10"/>
  <c r="AE63" i="10"/>
  <c r="AD63" i="10"/>
  <c r="AC63" i="10"/>
  <c r="AB63" i="10"/>
  <c r="AA63" i="10"/>
  <c r="Z63" i="10"/>
  <c r="AH73" i="10"/>
  <c r="AG73" i="10"/>
  <c r="AF73" i="10"/>
  <c r="AE73" i="10"/>
  <c r="AD73" i="10"/>
  <c r="AC73" i="10"/>
  <c r="AB73" i="10"/>
  <c r="AA73" i="10"/>
  <c r="AH69" i="10"/>
  <c r="AG69" i="10"/>
  <c r="AF69" i="10"/>
  <c r="AE69" i="10"/>
  <c r="AD69" i="10"/>
  <c r="AC69" i="10"/>
  <c r="AB69" i="10"/>
  <c r="AA69" i="10"/>
  <c r="AH43" i="10"/>
  <c r="AG43" i="10"/>
  <c r="AF43" i="10"/>
  <c r="AE43" i="10"/>
  <c r="AD43" i="10"/>
  <c r="AC43" i="10"/>
  <c r="AB43" i="10"/>
  <c r="AA43" i="10"/>
  <c r="AH72" i="10"/>
  <c r="AG72" i="10"/>
  <c r="AF72" i="10"/>
  <c r="AE72" i="10"/>
  <c r="AD72" i="10"/>
  <c r="AC72" i="10"/>
  <c r="AB72" i="10"/>
  <c r="AA72" i="10"/>
  <c r="AH40" i="10"/>
  <c r="AG40" i="10"/>
  <c r="AF40" i="10"/>
  <c r="AE40" i="10"/>
  <c r="AD40" i="10"/>
  <c r="AC40" i="10"/>
  <c r="AB40" i="10"/>
  <c r="D40" i="10"/>
  <c r="AH76" i="10"/>
  <c r="AG76" i="10"/>
  <c r="AF76" i="10"/>
  <c r="AE76" i="10"/>
  <c r="AD76" i="10"/>
  <c r="AC76" i="10"/>
  <c r="AB76" i="10"/>
  <c r="D76" i="10"/>
  <c r="AA76" i="10" s="1"/>
  <c r="AH50" i="10"/>
  <c r="AG50" i="10"/>
  <c r="AF50" i="10"/>
  <c r="AE50" i="10"/>
  <c r="AD50" i="10"/>
  <c r="AC50" i="10"/>
  <c r="AB50" i="10"/>
  <c r="D50" i="10"/>
  <c r="AA50" i="10" s="1"/>
  <c r="AH61" i="10"/>
  <c r="AG61" i="10"/>
  <c r="AF61" i="10"/>
  <c r="AE61" i="10"/>
  <c r="AD61" i="10"/>
  <c r="AC61" i="10"/>
  <c r="AB61" i="10"/>
  <c r="AA61" i="10"/>
  <c r="Z61" i="10"/>
  <c r="Z60" i="10"/>
  <c r="Z33" i="10"/>
  <c r="Z82" i="10"/>
  <c r="Z80" i="10"/>
  <c r="Z32" i="10"/>
  <c r="D35" i="10"/>
  <c r="D20" i="10"/>
  <c r="Z39" i="10"/>
  <c r="D79" i="10"/>
  <c r="AA79" i="10" s="1"/>
  <c r="Z29" i="10"/>
  <c r="Z13" i="10"/>
  <c r="D77" i="10"/>
  <c r="AA77" i="10" s="1"/>
  <c r="D75" i="10"/>
  <c r="D74" i="10"/>
  <c r="AA74" i="10" s="1"/>
  <c r="Z21" i="10"/>
  <c r="D16" i="10"/>
  <c r="AA16" i="10" s="1"/>
  <c r="Z68" i="10"/>
  <c r="D67" i="10"/>
  <c r="AA67" i="10" s="1"/>
  <c r="Z66" i="10"/>
  <c r="D65" i="10"/>
  <c r="AA65" i="10" s="1"/>
  <c r="D12" i="10"/>
  <c r="AA12" i="10" s="1"/>
  <c r="D28" i="10"/>
  <c r="D62" i="10"/>
  <c r="AA62" i="10" s="1"/>
  <c r="Z24" i="10"/>
  <c r="D59" i="10"/>
  <c r="AA59" i="10" s="1"/>
  <c r="Z58" i="10"/>
  <c r="Z11" i="10"/>
  <c r="Z38" i="10"/>
  <c r="Z56" i="10"/>
  <c r="Z55" i="10"/>
  <c r="Z19" i="10"/>
  <c r="D22" i="10"/>
  <c r="D54" i="10"/>
  <c r="AA54" i="10" s="1"/>
  <c r="Z53" i="10"/>
  <c r="Z10" i="10"/>
  <c r="Z52" i="10"/>
  <c r="D49" i="10"/>
  <c r="AA49" i="10" s="1"/>
  <c r="D48" i="10"/>
  <c r="Z8" i="10"/>
  <c r="D17" i="10"/>
  <c r="AA17" i="10" s="1"/>
  <c r="Z47" i="10"/>
  <c r="D23" i="10"/>
  <c r="D42" i="10"/>
  <c r="AA42" i="10" s="1"/>
  <c r="D7" i="10"/>
  <c r="AA7" i="10" s="1"/>
  <c r="D6" i="10"/>
  <c r="D45" i="10"/>
  <c r="AA45" i="10" s="1"/>
  <c r="D25" i="10"/>
  <c r="D26" i="10"/>
  <c r="AA26" i="10" s="1"/>
  <c r="Z30" i="10"/>
  <c r="Y2" i="10"/>
  <c r="AC60" i="10"/>
  <c r="AB60" i="10"/>
  <c r="AA60" i="10"/>
  <c r="AC33" i="10"/>
  <c r="AB33" i="10"/>
  <c r="AA33" i="10"/>
  <c r="AC83" i="10"/>
  <c r="AB83" i="10"/>
  <c r="AA83" i="10"/>
  <c r="AC82" i="10"/>
  <c r="AB82" i="10"/>
  <c r="AA82" i="10"/>
  <c r="AC80" i="10"/>
  <c r="AB80" i="10"/>
  <c r="AA80" i="10"/>
  <c r="AC15" i="10"/>
  <c r="AB15" i="10"/>
  <c r="AA15" i="10"/>
  <c r="AC32" i="10"/>
  <c r="AB32" i="10"/>
  <c r="AA32" i="10"/>
  <c r="AC35" i="10"/>
  <c r="AB35" i="10"/>
  <c r="AC20" i="10"/>
  <c r="AB20" i="10"/>
  <c r="AC39" i="10"/>
  <c r="AB39" i="10"/>
  <c r="AA39" i="10"/>
  <c r="AC79" i="10"/>
  <c r="AB79" i="10"/>
  <c r="AC29" i="10"/>
  <c r="AB29" i="10"/>
  <c r="AA29" i="10"/>
  <c r="AC13" i="10"/>
  <c r="AB13" i="10"/>
  <c r="AA13" i="10"/>
  <c r="AC77" i="10"/>
  <c r="AB77" i="10"/>
  <c r="AC75" i="10"/>
  <c r="AB75" i="10"/>
  <c r="AC74" i="10"/>
  <c r="AB74" i="10"/>
  <c r="AC21" i="10"/>
  <c r="AB21" i="10"/>
  <c r="AA21" i="10"/>
  <c r="AC71" i="10"/>
  <c r="AB71" i="10"/>
  <c r="AA71" i="10"/>
  <c r="AC16" i="10"/>
  <c r="AB16" i="10"/>
  <c r="AC68" i="10"/>
  <c r="AB68" i="10"/>
  <c r="AA68" i="10"/>
  <c r="AC67" i="10"/>
  <c r="AB67" i="10"/>
  <c r="AC66" i="10"/>
  <c r="AB66" i="10"/>
  <c r="AA66" i="10"/>
  <c r="AC65" i="10"/>
  <c r="AB65" i="10"/>
  <c r="AC12" i="10"/>
  <c r="AB12" i="10"/>
  <c r="AC28" i="10"/>
  <c r="AB28" i="10"/>
  <c r="AC62" i="10"/>
  <c r="AB62" i="10"/>
  <c r="AC24" i="10"/>
  <c r="AB24" i="10"/>
  <c r="AA24" i="10"/>
  <c r="AC59" i="10"/>
  <c r="AB59" i="10"/>
  <c r="AC58" i="10"/>
  <c r="AB58" i="10"/>
  <c r="AA58" i="10"/>
  <c r="AC11" i="10"/>
  <c r="AB11" i="10"/>
  <c r="AA11" i="10"/>
  <c r="AC38" i="10"/>
  <c r="AB38" i="10"/>
  <c r="AA38" i="10"/>
  <c r="AC56" i="10"/>
  <c r="AB56" i="10"/>
  <c r="AA56" i="10"/>
  <c r="AC55" i="10"/>
  <c r="AB55" i="10"/>
  <c r="AA55" i="10"/>
  <c r="AC19" i="10"/>
  <c r="AB19" i="10"/>
  <c r="AA19" i="10"/>
  <c r="AC22" i="10"/>
  <c r="AB22" i="10"/>
  <c r="AC54" i="10"/>
  <c r="AB54" i="10"/>
  <c r="AC53" i="10"/>
  <c r="AB53" i="10"/>
  <c r="AA53" i="10"/>
  <c r="AC10" i="10"/>
  <c r="AB10" i="10"/>
  <c r="AA10" i="10"/>
  <c r="AC52" i="10"/>
  <c r="AB52" i="10"/>
  <c r="AA52" i="10"/>
  <c r="AC51" i="10"/>
  <c r="AB51" i="10"/>
  <c r="AA51" i="10"/>
  <c r="AC36" i="10"/>
  <c r="AB36" i="10"/>
  <c r="AA36" i="10"/>
  <c r="AC9" i="10"/>
  <c r="AB9" i="10"/>
  <c r="AA9" i="10"/>
  <c r="AC49" i="10"/>
  <c r="AB49" i="10"/>
  <c r="AC48" i="10"/>
  <c r="AB48" i="10"/>
  <c r="AC8" i="10"/>
  <c r="AB8" i="10"/>
  <c r="AA8" i="10"/>
  <c r="AC17" i="10"/>
  <c r="AB17" i="10"/>
  <c r="AC47" i="10"/>
  <c r="AB47" i="10"/>
  <c r="AA47" i="10"/>
  <c r="AC46" i="10"/>
  <c r="AB46" i="10"/>
  <c r="AA46" i="10"/>
  <c r="AC23" i="10"/>
  <c r="AB23" i="10"/>
  <c r="AC42" i="10"/>
  <c r="AB42" i="10"/>
  <c r="AC7" i="10"/>
  <c r="AB7" i="10"/>
  <c r="AC6" i="10"/>
  <c r="AB6" i="10"/>
  <c r="AC45" i="10"/>
  <c r="AB45" i="10"/>
  <c r="AC25" i="10"/>
  <c r="AB25" i="10"/>
  <c r="AC5" i="10"/>
  <c r="AB5" i="10"/>
  <c r="AA5" i="10"/>
  <c r="AC26" i="10"/>
  <c r="AB26" i="10"/>
  <c r="AC30" i="10"/>
  <c r="AB30" i="10"/>
  <c r="AA30" i="10"/>
  <c r="AB2" i="10"/>
  <c r="AA2" i="10"/>
  <c r="Z2" i="10"/>
  <c r="AH60" i="10"/>
  <c r="AG60" i="10"/>
  <c r="AF60" i="10"/>
  <c r="AE60" i="10"/>
  <c r="AD60" i="10"/>
  <c r="AD51" i="10"/>
  <c r="AD59" i="10"/>
  <c r="AD83" i="10"/>
  <c r="AD46" i="10"/>
  <c r="AD42" i="10"/>
  <c r="AD33" i="10"/>
  <c r="AD82" i="10"/>
  <c r="AD80" i="10"/>
  <c r="AD15" i="10"/>
  <c r="AD32" i="10"/>
  <c r="AD35" i="10"/>
  <c r="AD20" i="10"/>
  <c r="AD39" i="10"/>
  <c r="AD79" i="10"/>
  <c r="AD29" i="10"/>
  <c r="AD13" i="10"/>
  <c r="AD77" i="10"/>
  <c r="AD75" i="10"/>
  <c r="AD74" i="10"/>
  <c r="AD21" i="10"/>
  <c r="AD71" i="10"/>
  <c r="AD16" i="10"/>
  <c r="AD68" i="10"/>
  <c r="AD67" i="10"/>
  <c r="AD66" i="10"/>
  <c r="AD65" i="10"/>
  <c r="AD12" i="10"/>
  <c r="AD28" i="10"/>
  <c r="AD62" i="10"/>
  <c r="AD24" i="10"/>
  <c r="AD58" i="10"/>
  <c r="AD11" i="10"/>
  <c r="AD38" i="10"/>
  <c r="AD56" i="10"/>
  <c r="AD55" i="10"/>
  <c r="AD19" i="10"/>
  <c r="AD22" i="10"/>
  <c r="AD54" i="10"/>
  <c r="AD53" i="10"/>
  <c r="AD10" i="10"/>
  <c r="AD52" i="10"/>
  <c r="AD36" i="10"/>
  <c r="AD9" i="10"/>
  <c r="AD49" i="10"/>
  <c r="AD48" i="10"/>
  <c r="AD8" i="10"/>
  <c r="AD17" i="10"/>
  <c r="AD47" i="10"/>
  <c r="AD23" i="10"/>
  <c r="AD7" i="10"/>
  <c r="AD6" i="10"/>
  <c r="AD45" i="10"/>
  <c r="AD25" i="10"/>
  <c r="AD5" i="10"/>
  <c r="AD26" i="10"/>
  <c r="AD30" i="10"/>
  <c r="AC2" i="10"/>
  <c r="AH51" i="10"/>
  <c r="AG51" i="10"/>
  <c r="AF51" i="10"/>
  <c r="AE51" i="10"/>
  <c r="AH59" i="10"/>
  <c r="AG59" i="10"/>
  <c r="AF59" i="10"/>
  <c r="AE59" i="10"/>
  <c r="AH83" i="10"/>
  <c r="AG83" i="10"/>
  <c r="AF83" i="10"/>
  <c r="AE83" i="10"/>
  <c r="AH46" i="10"/>
  <c r="AG46" i="10"/>
  <c r="AF46" i="10"/>
  <c r="AE46" i="10"/>
  <c r="AH42" i="10"/>
  <c r="AG42" i="10"/>
  <c r="AF42" i="10"/>
  <c r="AE42" i="10"/>
  <c r="J80" i="10"/>
  <c r="AE80" i="10" s="1"/>
  <c r="J35" i="10"/>
  <c r="AF35" i="10" s="1"/>
  <c r="J20" i="10"/>
  <c r="AE20" i="10" s="1"/>
  <c r="J29" i="10"/>
  <c r="AE29" i="10" s="1"/>
  <c r="J75" i="10"/>
  <c r="AF75" i="10" s="1"/>
  <c r="J16" i="10"/>
  <c r="AE16" i="10" s="1"/>
  <c r="J12" i="10"/>
  <c r="AE12" i="10" s="1"/>
  <c r="J28" i="10"/>
  <c r="AF28" i="10" s="1"/>
  <c r="J62" i="10"/>
  <c r="J24" i="10"/>
  <c r="AF24" i="10" s="1"/>
  <c r="J22" i="10"/>
  <c r="AE22" i="10" s="1"/>
  <c r="J54" i="10"/>
  <c r="AF54" i="10" s="1"/>
  <c r="J49" i="10"/>
  <c r="J48" i="10"/>
  <c r="AE48" i="10" s="1"/>
  <c r="J8" i="10"/>
  <c r="AF8" i="10" s="1"/>
  <c r="J17" i="10"/>
  <c r="J7" i="10"/>
  <c r="J26" i="10"/>
  <c r="AF26" i="10" s="1"/>
  <c r="AH47" i="10"/>
  <c r="AG47" i="10"/>
  <c r="AF47" i="10"/>
  <c r="AE47" i="10"/>
  <c r="AD2" i="10"/>
  <c r="AF33" i="10"/>
  <c r="AE33" i="10"/>
  <c r="AF82" i="10"/>
  <c r="AE82" i="10"/>
  <c r="AF15" i="10"/>
  <c r="AE15" i="10"/>
  <c r="AF32" i="10"/>
  <c r="AE32" i="10"/>
  <c r="AF39" i="10"/>
  <c r="AE39" i="10"/>
  <c r="AF79" i="10"/>
  <c r="AE79" i="10"/>
  <c r="AF13" i="10"/>
  <c r="AE13" i="10"/>
  <c r="AF77" i="10"/>
  <c r="AE77" i="10"/>
  <c r="AF74" i="10"/>
  <c r="AE74" i="10"/>
  <c r="AF21" i="10"/>
  <c r="AE21" i="10"/>
  <c r="AF71" i="10"/>
  <c r="AE71" i="10"/>
  <c r="AF68" i="10"/>
  <c r="AE68" i="10"/>
  <c r="AF67" i="10"/>
  <c r="AE67" i="10"/>
  <c r="AF66" i="10"/>
  <c r="AE66" i="10"/>
  <c r="AF65" i="10"/>
  <c r="AE65" i="10"/>
  <c r="AF58" i="10"/>
  <c r="AE58" i="10"/>
  <c r="AF11" i="10"/>
  <c r="AE11" i="10"/>
  <c r="AF38" i="10"/>
  <c r="AE38" i="10"/>
  <c r="AF56" i="10"/>
  <c r="AE56" i="10"/>
  <c r="AF55" i="10"/>
  <c r="AE55" i="10"/>
  <c r="AF19" i="10"/>
  <c r="AE19" i="10"/>
  <c r="AF53" i="10"/>
  <c r="AE53" i="10"/>
  <c r="AF10" i="10"/>
  <c r="AE10" i="10"/>
  <c r="AF52" i="10"/>
  <c r="AE52" i="10"/>
  <c r="AF36" i="10"/>
  <c r="AE36" i="10"/>
  <c r="AF9" i="10"/>
  <c r="AE9" i="10"/>
  <c r="AF23" i="10"/>
  <c r="AE23" i="10"/>
  <c r="AF6" i="10"/>
  <c r="AE6" i="10"/>
  <c r="AF45" i="10"/>
  <c r="AE45" i="10"/>
  <c r="AF25" i="10"/>
  <c r="AE25" i="10"/>
  <c r="AF5" i="10"/>
  <c r="AE5" i="10"/>
  <c r="AF30" i="10"/>
  <c r="AE30" i="10"/>
  <c r="AF2" i="10"/>
  <c r="AE2" i="10"/>
  <c r="AG33" i="10"/>
  <c r="AG82" i="10"/>
  <c r="AG80" i="10"/>
  <c r="AG15" i="10"/>
  <c r="AG32" i="10"/>
  <c r="AG75" i="10"/>
  <c r="AG67" i="10"/>
  <c r="AG20" i="10"/>
  <c r="AG39" i="10"/>
  <c r="AG79" i="10"/>
  <c r="AG13" i="10"/>
  <c r="AG77" i="10"/>
  <c r="AG74" i="10"/>
  <c r="AG21" i="10"/>
  <c r="AG71" i="10"/>
  <c r="AG16" i="10"/>
  <c r="AG68" i="10"/>
  <c r="AG35" i="10"/>
  <c r="AG66" i="10"/>
  <c r="AG65" i="10"/>
  <c r="AG12" i="10"/>
  <c r="AG28" i="10"/>
  <c r="AG62" i="10"/>
  <c r="AG24" i="10"/>
  <c r="AG29" i="10"/>
  <c r="AG58" i="10"/>
  <c r="AG11" i="10"/>
  <c r="AG38" i="10"/>
  <c r="AG56" i="10"/>
  <c r="AG55" i="10"/>
  <c r="AG19" i="10"/>
  <c r="AG22" i="10"/>
  <c r="AG54" i="10"/>
  <c r="AG53" i="10"/>
  <c r="AG10" i="10"/>
  <c r="AG52" i="10"/>
  <c r="AG36" i="10"/>
  <c r="AG9" i="10"/>
  <c r="AG49" i="10"/>
  <c r="AG48" i="10"/>
  <c r="AG8" i="10"/>
  <c r="AG17" i="10"/>
  <c r="AG23" i="10"/>
  <c r="AG7" i="10"/>
  <c r="AG6" i="10"/>
  <c r="AG45" i="10"/>
  <c r="AG25" i="10"/>
  <c r="AG5" i="10"/>
  <c r="AG26" i="10"/>
  <c r="AG30" i="10"/>
  <c r="AG2" i="10"/>
  <c r="AH2" i="10"/>
  <c r="AH7" i="10"/>
  <c r="AH8" i="10"/>
  <c r="AH79" i="10"/>
  <c r="AH17" i="10"/>
  <c r="AH35" i="10"/>
  <c r="AH49" i="10"/>
  <c r="AH10" i="10"/>
  <c r="AH24" i="10"/>
  <c r="AH80" i="10"/>
  <c r="AH62" i="10"/>
  <c r="AH22" i="10"/>
  <c r="AH12" i="10"/>
  <c r="AH23" i="10"/>
  <c r="AH25" i="10"/>
  <c r="AH29" i="10"/>
  <c r="AH75" i="10"/>
  <c r="AH26" i="10"/>
  <c r="AH33" i="10"/>
  <c r="AH39" i="10"/>
  <c r="AH48" i="10"/>
  <c r="AH30" i="10"/>
  <c r="AH71" i="10"/>
  <c r="AH28" i="10"/>
  <c r="AH16" i="10"/>
  <c r="AH54" i="10"/>
  <c r="AH38" i="10"/>
  <c r="AH21" i="10"/>
  <c r="AH13" i="10"/>
  <c r="AH53" i="10"/>
  <c r="AH5" i="10"/>
  <c r="AH6" i="10"/>
  <c r="AH9" i="10"/>
  <c r="AH36" i="10"/>
  <c r="AH52" i="10"/>
  <c r="AH19" i="10"/>
  <c r="AH56" i="10"/>
  <c r="AH11" i="10"/>
  <c r="AH58" i="10"/>
  <c r="AH74" i="10"/>
  <c r="AH77" i="10"/>
  <c r="AH20" i="10"/>
  <c r="AH32" i="10"/>
  <c r="AH82" i="10"/>
  <c r="AH45" i="10"/>
  <c r="AH55" i="10"/>
  <c r="AH65" i="10"/>
  <c r="AH66" i="10"/>
  <c r="AH15" i="10"/>
  <c r="AH68" i="10"/>
  <c r="AH67" i="10"/>
  <c r="AI30" i="10"/>
  <c r="AI2" i="10"/>
  <c r="AK2" i="10"/>
  <c r="AJ2" i="10"/>
  <c r="AJ30" i="10"/>
  <c r="AL2" i="10"/>
  <c r="AK30" i="10"/>
  <c r="AL30" i="10"/>
  <c r="Q38" i="6"/>
  <c r="M38" i="6"/>
  <c r="I38" i="6"/>
  <c r="E38" i="6"/>
  <c r="AA23" i="6"/>
  <c r="AA8" i="6"/>
  <c r="AA33" i="6"/>
  <c r="AA18" i="6"/>
  <c r="AA39" i="6"/>
  <c r="AA35" i="6"/>
  <c r="AA11" i="6"/>
  <c r="AA34" i="6"/>
  <c r="AA13" i="6"/>
  <c r="AA36" i="6"/>
  <c r="AA24" i="6"/>
  <c r="AA25" i="6"/>
  <c r="AA14" i="6"/>
  <c r="AA21" i="6"/>
  <c r="AA26" i="6"/>
  <c r="AA12" i="6"/>
  <c r="AA19" i="6"/>
  <c r="AA29" i="6"/>
  <c r="AA7" i="6"/>
  <c r="AA15" i="6"/>
  <c r="AA31" i="6"/>
  <c r="AA10" i="6"/>
  <c r="AA9" i="6"/>
  <c r="AA20" i="6"/>
  <c r="AA28" i="6"/>
  <c r="AA32" i="6"/>
  <c r="AA38" i="6"/>
  <c r="AA16" i="6"/>
  <c r="AA22" i="6"/>
  <c r="AA17" i="6"/>
  <c r="AA27" i="6"/>
  <c r="AA37" i="6"/>
  <c r="AA30" i="6"/>
  <c r="J73" i="7"/>
  <c r="J74" i="7"/>
  <c r="J77" i="7"/>
  <c r="J76" i="7"/>
  <c r="J75" i="7"/>
  <c r="J78" i="7"/>
  <c r="J79" i="7"/>
  <c r="J80" i="7"/>
  <c r="J81" i="7"/>
  <c r="J82" i="7"/>
  <c r="J83" i="7"/>
  <c r="J86" i="7"/>
  <c r="J84" i="7"/>
  <c r="J87" i="7"/>
  <c r="J89" i="7"/>
  <c r="AM181" i="9"/>
  <c r="AG181" i="9"/>
  <c r="AA181" i="9"/>
  <c r="U181" i="9"/>
  <c r="O181" i="9"/>
  <c r="I181" i="9"/>
  <c r="CO151" i="9"/>
  <c r="CI151" i="9"/>
  <c r="CC151" i="9"/>
  <c r="BW151" i="9"/>
  <c r="BQ151" i="9"/>
  <c r="BK151" i="9"/>
  <c r="BE151" i="9"/>
  <c r="AY151" i="9"/>
  <c r="AS151" i="9"/>
  <c r="AM151" i="9"/>
  <c r="AG151" i="9"/>
  <c r="AA151" i="9"/>
  <c r="U151" i="9"/>
  <c r="C151" i="9"/>
  <c r="I151" i="9"/>
  <c r="O151" i="9"/>
  <c r="C181" i="9"/>
  <c r="C118" i="9" s="1"/>
  <c r="C21" i="8"/>
  <c r="EA21" i="8" s="1"/>
  <c r="EC21" i="8" s="1"/>
  <c r="U20" i="8"/>
  <c r="L20" i="8"/>
  <c r="I20" i="8"/>
  <c r="K182" i="4"/>
  <c r="K183" i="4"/>
  <c r="O135" i="4"/>
  <c r="K134" i="4"/>
  <c r="K135" i="4"/>
  <c r="O133" i="4"/>
  <c r="O131" i="4"/>
  <c r="O129" i="4"/>
  <c r="K130" i="4"/>
  <c r="K131" i="4"/>
  <c r="K132" i="4"/>
  <c r="K133" i="4"/>
  <c r="K128" i="4"/>
  <c r="K129" i="4"/>
  <c r="K40" i="4"/>
  <c r="K38" i="4"/>
  <c r="O192" i="2"/>
  <c r="O118" i="2" s="1"/>
  <c r="I192" i="2"/>
  <c r="I118" i="2" s="1"/>
  <c r="C192" i="2"/>
  <c r="C118" i="2" s="1"/>
  <c r="Q37" i="6"/>
  <c r="M37" i="6"/>
  <c r="I37" i="6"/>
  <c r="E37" i="6"/>
  <c r="E5" i="6"/>
  <c r="I5" i="6"/>
  <c r="M5" i="6"/>
  <c r="E7" i="6"/>
  <c r="I7" i="6"/>
  <c r="M7" i="6"/>
  <c r="Q7" i="6"/>
  <c r="E8" i="6"/>
  <c r="I8" i="6"/>
  <c r="M8" i="6"/>
  <c r="Q8" i="6"/>
  <c r="E9" i="6"/>
  <c r="I9" i="6"/>
  <c r="M9" i="6"/>
  <c r="Q9" i="6"/>
  <c r="E10" i="6"/>
  <c r="I10" i="6"/>
  <c r="M10" i="6"/>
  <c r="Q10" i="6"/>
  <c r="E11" i="6"/>
  <c r="I11" i="6"/>
  <c r="M11" i="6"/>
  <c r="Q11" i="6"/>
  <c r="E12" i="6"/>
  <c r="I12" i="6"/>
  <c r="M12" i="6"/>
  <c r="Q12" i="6"/>
  <c r="E13" i="6"/>
  <c r="I13" i="6"/>
  <c r="M13" i="6"/>
  <c r="Q13" i="6"/>
  <c r="E14" i="6"/>
  <c r="I14" i="6"/>
  <c r="M14" i="6"/>
  <c r="Q14" i="6"/>
  <c r="E15" i="6"/>
  <c r="I15" i="6"/>
  <c r="M15" i="6"/>
  <c r="Q15" i="6"/>
  <c r="E16" i="6"/>
  <c r="I16" i="6"/>
  <c r="M16" i="6"/>
  <c r="Q16" i="6"/>
  <c r="E17" i="6"/>
  <c r="I17" i="6"/>
  <c r="M17" i="6"/>
  <c r="Q17" i="6"/>
  <c r="E18" i="6"/>
  <c r="I18" i="6"/>
  <c r="M18" i="6"/>
  <c r="Q18" i="6"/>
  <c r="E19" i="6"/>
  <c r="I19" i="6"/>
  <c r="M19" i="6"/>
  <c r="Q19" i="6"/>
  <c r="E20" i="6"/>
  <c r="I20" i="6"/>
  <c r="M20" i="6"/>
  <c r="Q20" i="6"/>
  <c r="E21" i="6"/>
  <c r="I21" i="6"/>
  <c r="M21" i="6"/>
  <c r="Q21" i="6"/>
  <c r="E22" i="6"/>
  <c r="I22" i="6"/>
  <c r="M22" i="6"/>
  <c r="Q22" i="6"/>
  <c r="E23" i="6"/>
  <c r="I23" i="6"/>
  <c r="M23" i="6"/>
  <c r="Q23" i="6"/>
  <c r="E24" i="6"/>
  <c r="I24" i="6"/>
  <c r="M24" i="6"/>
  <c r="Q24" i="6"/>
  <c r="E25" i="6"/>
  <c r="I25" i="6"/>
  <c r="M25" i="6"/>
  <c r="Q25" i="6"/>
  <c r="E26" i="6"/>
  <c r="I26" i="6"/>
  <c r="M26" i="6"/>
  <c r="Q26" i="6"/>
  <c r="E27" i="6"/>
  <c r="I27" i="6"/>
  <c r="M27" i="6"/>
  <c r="Q27" i="6"/>
  <c r="E28" i="6"/>
  <c r="I28" i="6"/>
  <c r="M28" i="6"/>
  <c r="Q28" i="6"/>
  <c r="E29" i="6"/>
  <c r="I29" i="6"/>
  <c r="M29" i="6"/>
  <c r="Q29" i="6"/>
  <c r="E30" i="6"/>
  <c r="I30" i="6"/>
  <c r="M30" i="6"/>
  <c r="Q30" i="6"/>
  <c r="E31" i="6"/>
  <c r="I31" i="6"/>
  <c r="M31" i="6"/>
  <c r="Q31" i="6"/>
  <c r="E32" i="6"/>
  <c r="I32" i="6"/>
  <c r="M32" i="6"/>
  <c r="Q32" i="6"/>
  <c r="E33" i="6"/>
  <c r="I33" i="6"/>
  <c r="M33" i="6"/>
  <c r="Q33" i="6"/>
  <c r="E34" i="6"/>
  <c r="I34" i="6"/>
  <c r="M34" i="6"/>
  <c r="Q34" i="6"/>
  <c r="E35" i="6"/>
  <c r="I35" i="6"/>
  <c r="M35" i="6"/>
  <c r="Q35" i="6"/>
  <c r="E36" i="6"/>
  <c r="I36" i="6"/>
  <c r="M36" i="6"/>
  <c r="Q36" i="6"/>
  <c r="K212" i="4"/>
  <c r="K213" i="4"/>
  <c r="K184" i="4"/>
  <c r="K185" i="4"/>
  <c r="K41" i="4"/>
  <c r="K146" i="4"/>
  <c r="K147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9" i="4"/>
  <c r="K64" i="4"/>
  <c r="K65" i="4"/>
  <c r="O65" i="4"/>
  <c r="K66" i="4"/>
  <c r="K67" i="4"/>
  <c r="O67" i="4"/>
  <c r="K68" i="4"/>
  <c r="K69" i="4"/>
  <c r="O69" i="4"/>
  <c r="K70" i="4"/>
  <c r="K71" i="4"/>
  <c r="O71" i="4"/>
  <c r="K72" i="4"/>
  <c r="K73" i="4"/>
  <c r="O73" i="4"/>
  <c r="K74" i="4"/>
  <c r="K75" i="4"/>
  <c r="O75" i="4"/>
  <c r="K76" i="4"/>
  <c r="K77" i="4"/>
  <c r="K78" i="4"/>
  <c r="K79" i="4"/>
  <c r="O79" i="4"/>
  <c r="K80" i="4"/>
  <c r="K81" i="4"/>
  <c r="K82" i="4"/>
  <c r="K83" i="4"/>
  <c r="O83" i="4"/>
  <c r="K84" i="4"/>
  <c r="K85" i="4"/>
  <c r="K86" i="4"/>
  <c r="K87" i="4"/>
  <c r="O87" i="4"/>
  <c r="K88" i="4"/>
  <c r="K89" i="4"/>
  <c r="O89" i="4"/>
  <c r="K90" i="4"/>
  <c r="K91" i="4"/>
  <c r="O91" i="4"/>
  <c r="K92" i="4"/>
  <c r="K93" i="4"/>
  <c r="O93" i="4"/>
  <c r="K94" i="4"/>
  <c r="K95" i="4"/>
  <c r="O95" i="4"/>
  <c r="K96" i="4"/>
  <c r="K97" i="4"/>
  <c r="O97" i="4"/>
  <c r="K98" i="4"/>
  <c r="K99" i="4"/>
  <c r="O99" i="4"/>
  <c r="K100" i="4"/>
  <c r="K101" i="4"/>
  <c r="O101" i="4"/>
  <c r="K102" i="4"/>
  <c r="K103" i="4"/>
  <c r="O103" i="4"/>
  <c r="K104" i="4"/>
  <c r="K105" i="4"/>
  <c r="O105" i="4"/>
  <c r="K106" i="4"/>
  <c r="K107" i="4"/>
  <c r="O107" i="4"/>
  <c r="K108" i="4"/>
  <c r="K109" i="4"/>
  <c r="O109" i="4"/>
  <c r="K118" i="4"/>
  <c r="K119" i="4"/>
  <c r="O119" i="4"/>
  <c r="K120" i="4"/>
  <c r="K121" i="4"/>
  <c r="O121" i="4"/>
  <c r="K122" i="4"/>
  <c r="K123" i="4"/>
  <c r="O123" i="4"/>
  <c r="K124" i="4"/>
  <c r="K125" i="4"/>
  <c r="O125" i="4"/>
  <c r="K126" i="4"/>
  <c r="K127" i="4"/>
  <c r="O127" i="4"/>
  <c r="K180" i="4"/>
  <c r="K181" i="4"/>
  <c r="K210" i="4"/>
  <c r="K211" i="4"/>
  <c r="L232" i="4"/>
  <c r="O232" i="4" s="1"/>
  <c r="C162" i="2"/>
  <c r="I162" i="2"/>
  <c r="O162" i="2"/>
  <c r="Y43" i="10"/>
  <c r="K71" i="12"/>
  <c r="K79" i="12"/>
  <c r="I83" i="12"/>
  <c r="K11" i="12"/>
  <c r="K19" i="12"/>
  <c r="K23" i="12"/>
  <c r="J71" i="12"/>
  <c r="J79" i="12"/>
  <c r="J83" i="12"/>
  <c r="J7" i="12"/>
  <c r="J15" i="12"/>
  <c r="K27" i="12"/>
  <c r="J51" i="12"/>
  <c r="I71" i="12"/>
  <c r="M70" i="12"/>
  <c r="J75" i="12"/>
  <c r="M78" i="12"/>
  <c r="K83" i="12"/>
  <c r="M25" i="12"/>
  <c r="M82" i="12"/>
  <c r="M5" i="12"/>
  <c r="M18" i="12"/>
  <c r="M17" i="12"/>
  <c r="I23" i="12"/>
  <c r="M22" i="12"/>
  <c r="J27" i="12"/>
  <c r="I75" i="12"/>
  <c r="M74" i="12"/>
  <c r="M69" i="12"/>
  <c r="M77" i="12"/>
  <c r="J19" i="12"/>
  <c r="M26" i="12"/>
  <c r="M29" i="12"/>
  <c r="K75" i="12"/>
  <c r="M81" i="12"/>
  <c r="M73" i="12"/>
  <c r="N74" i="12" s="1"/>
  <c r="O74" i="12" s="1"/>
  <c r="I27" i="12"/>
  <c r="M21" i="12"/>
  <c r="I7" i="12"/>
  <c r="K199" i="4"/>
  <c r="AA23" i="10"/>
  <c r="Y20" i="10"/>
  <c r="Y75" i="10"/>
  <c r="AE75" i="10"/>
  <c r="Z79" i="10"/>
  <c r="Z67" i="10"/>
  <c r="AX316" i="13"/>
  <c r="AO89" i="13"/>
  <c r="AN89" i="13"/>
  <c r="AL169" i="13"/>
  <c r="AI126" i="13"/>
  <c r="AS238" i="13"/>
  <c r="AT283" i="13"/>
  <c r="AQ390" i="13"/>
  <c r="AO75" i="13"/>
  <c r="AM193" i="13"/>
  <c r="AL176" i="13"/>
  <c r="AJ83" i="13"/>
  <c r="AP169" i="13"/>
  <c r="AN170" i="13"/>
  <c r="AP258" i="13"/>
  <c r="AO135" i="13"/>
  <c r="AN135" i="13"/>
  <c r="AM163" i="13"/>
  <c r="AL291" i="13"/>
  <c r="AL413" i="13"/>
  <c r="AM413" i="13"/>
  <c r="AC319" i="13"/>
  <c r="AD221" i="13"/>
  <c r="AE221" i="13"/>
  <c r="AD212" i="13"/>
  <c r="AD373" i="13"/>
  <c r="AE373" i="13"/>
  <c r="AD115" i="13"/>
  <c r="AE115" i="13"/>
  <c r="AC126" i="13"/>
  <c r="AD262" i="13"/>
  <c r="AE262" i="13"/>
  <c r="AD255" i="13"/>
  <c r="AE255" i="13"/>
  <c r="AF126" i="13"/>
  <c r="AF259" i="13"/>
  <c r="AE127" i="13"/>
  <c r="AF106" i="13"/>
  <c r="AI155" i="13"/>
  <c r="AI408" i="13"/>
  <c r="AD319" i="13"/>
  <c r="AE206" i="13"/>
  <c r="AE349" i="13"/>
  <c r="AE173" i="13"/>
  <c r="EE9" i="8" l="1"/>
  <c r="N9" i="7" s="1"/>
  <c r="AR64" i="13"/>
  <c r="AM169" i="13"/>
  <c r="AU400" i="13"/>
  <c r="AX297" i="13"/>
  <c r="AN411" i="13"/>
  <c r="AK96" i="13"/>
  <c r="AK291" i="13"/>
  <c r="AK306" i="13"/>
  <c r="AS395" i="13"/>
  <c r="AS233" i="13"/>
  <c r="AQ337" i="13"/>
  <c r="AR391" i="13"/>
  <c r="AG160" i="13"/>
  <c r="AU118" i="13"/>
  <c r="AT168" i="13"/>
  <c r="AP75" i="13"/>
  <c r="AU24" i="13"/>
  <c r="AX289" i="13"/>
  <c r="AO103" i="13"/>
  <c r="AO323" i="13"/>
  <c r="AJ306" i="13"/>
  <c r="AE346" i="13"/>
  <c r="AE153" i="13"/>
  <c r="AE83" i="13"/>
  <c r="AH376" i="13"/>
  <c r="AH328" i="13"/>
  <c r="AH213" i="13"/>
  <c r="AT415" i="13"/>
  <c r="AO335" i="13"/>
  <c r="AX264" i="13"/>
  <c r="AJ134" i="13"/>
  <c r="AT129" i="13"/>
  <c r="AX357" i="13"/>
  <c r="AL75" i="13"/>
  <c r="AR16" i="13"/>
  <c r="AQ296" i="13"/>
  <c r="AP154" i="13"/>
  <c r="AO169" i="13"/>
  <c r="AN301" i="13"/>
  <c r="AM301" i="13"/>
  <c r="AC407" i="13"/>
  <c r="AC317" i="13"/>
  <c r="AO396" i="13"/>
  <c r="AM194" i="13"/>
  <c r="AM70" i="13"/>
  <c r="AP323" i="13"/>
  <c r="AP103" i="13"/>
  <c r="AW284" i="13"/>
  <c r="AT159" i="13"/>
  <c r="AN425" i="13"/>
  <c r="AE243" i="13"/>
  <c r="AL166" i="13"/>
  <c r="AX130" i="13"/>
  <c r="AT195" i="13"/>
  <c r="AI379" i="13"/>
  <c r="AI376" i="13"/>
  <c r="AC298" i="13"/>
  <c r="AR152" i="13"/>
  <c r="AX203" i="13"/>
  <c r="AU88" i="13"/>
  <c r="AQ141" i="13"/>
  <c r="AJ184" i="13"/>
  <c r="AJ337" i="13"/>
  <c r="AJ342" i="13"/>
  <c r="AJ375" i="13"/>
  <c r="AU347" i="13"/>
  <c r="AW300" i="13"/>
  <c r="AQ252" i="13"/>
  <c r="AJ339" i="13"/>
  <c r="AD70" i="13"/>
  <c r="AD216" i="13"/>
  <c r="AC103" i="13"/>
  <c r="N22" i="12"/>
  <c r="O22" i="12" s="1"/>
  <c r="AR414" i="13"/>
  <c r="AK379" i="13"/>
  <c r="AK396" i="13"/>
  <c r="AF83" i="13"/>
  <c r="AG126" i="13"/>
  <c r="AH75" i="13"/>
  <c r="AX229" i="13"/>
  <c r="AQ227" i="13"/>
  <c r="N78" i="12"/>
  <c r="O78" i="12" s="1"/>
  <c r="AR283" i="13"/>
  <c r="AW397" i="13"/>
  <c r="AP301" i="13"/>
  <c r="AL103" i="13"/>
  <c r="AL154" i="13"/>
  <c r="AK213" i="13"/>
  <c r="AJ408" i="13"/>
  <c r="AK332" i="13"/>
  <c r="L129" i="4"/>
  <c r="N129" i="4" s="1"/>
  <c r="L131" i="4"/>
  <c r="N131" i="4" s="1"/>
  <c r="Z12" i="10"/>
  <c r="M66" i="12"/>
  <c r="M50" i="12"/>
  <c r="M46" i="12"/>
  <c r="N46" i="12" s="1"/>
  <c r="O46" i="12" s="1"/>
  <c r="AQ154" i="13"/>
  <c r="AN403" i="13"/>
  <c r="AE202" i="13"/>
  <c r="AE212" i="13"/>
  <c r="AE298" i="13"/>
  <c r="AT63" i="13"/>
  <c r="AE26" i="10"/>
  <c r="L185" i="4"/>
  <c r="N185" i="4" s="1"/>
  <c r="AE80" i="13"/>
  <c r="AF98" i="13"/>
  <c r="AK342" i="13"/>
  <c r="AS340" i="13"/>
  <c r="AR141" i="13"/>
  <c r="AX435" i="13"/>
  <c r="AE8" i="10"/>
  <c r="AE54" i="10"/>
  <c r="Y5" i="10"/>
  <c r="J91" i="12"/>
  <c r="K87" i="12"/>
  <c r="J67" i="12"/>
  <c r="I63" i="12"/>
  <c r="K55" i="12"/>
  <c r="I47" i="12"/>
  <c r="K47" i="12"/>
  <c r="K43" i="12"/>
  <c r="AX225" i="13"/>
  <c r="AX378" i="13"/>
  <c r="AV107" i="13"/>
  <c r="AU290" i="13"/>
  <c r="AL66" i="13"/>
  <c r="AF344" i="13"/>
  <c r="AE433" i="13"/>
  <c r="AD298" i="13"/>
  <c r="AD126" i="13"/>
  <c r="AF22" i="10"/>
  <c r="AX46" i="13"/>
  <c r="AS69" i="13"/>
  <c r="AT84" i="13"/>
  <c r="AK75" i="13"/>
  <c r="Y26" i="10"/>
  <c r="AM154" i="13"/>
  <c r="AF298" i="13"/>
  <c r="AF295" i="13"/>
  <c r="AE342" i="13"/>
  <c r="AK169" i="13"/>
  <c r="AQ366" i="13"/>
  <c r="K67" i="12"/>
  <c r="AJ249" i="13"/>
  <c r="AJ72" i="13"/>
  <c r="AR113" i="13"/>
  <c r="AX90" i="13"/>
  <c r="AE24" i="10"/>
  <c r="AF12" i="10"/>
  <c r="L32" i="7"/>
  <c r="AQ87" i="13"/>
  <c r="AQ16" i="13"/>
  <c r="AR327" i="13"/>
  <c r="AN154" i="13"/>
  <c r="AM99" i="13"/>
  <c r="AK286" i="13"/>
  <c r="AK345" i="13"/>
  <c r="AF86" i="13"/>
  <c r="AD299" i="13"/>
  <c r="AD83" i="13"/>
  <c r="AE126" i="13"/>
  <c r="AU383" i="13"/>
  <c r="L40" i="7"/>
  <c r="M40" i="7" s="1"/>
  <c r="Y25" i="10"/>
  <c r="AQ322" i="13"/>
  <c r="AL163" i="13"/>
  <c r="AV79" i="13"/>
  <c r="AT66" i="13"/>
  <c r="AT330" i="13"/>
  <c r="AU168" i="13"/>
  <c r="AX165" i="13"/>
  <c r="Y28" i="10"/>
  <c r="AX387" i="13"/>
  <c r="AV88" i="13"/>
  <c r="AP170" i="13"/>
  <c r="AL301" i="13"/>
  <c r="AL306" i="13"/>
  <c r="AJ75" i="13"/>
  <c r="AC189" i="13"/>
  <c r="L211" i="4"/>
  <c r="N211" i="4" s="1"/>
  <c r="L217" i="4"/>
  <c r="N217" i="4" s="1"/>
  <c r="L209" i="4"/>
  <c r="N209" i="4" s="1"/>
  <c r="L47" i="4"/>
  <c r="N47" i="4" s="1"/>
  <c r="AP188" i="13"/>
  <c r="AQ188" i="13"/>
  <c r="AP236" i="13"/>
  <c r="AQ236" i="13"/>
  <c r="AQ251" i="13"/>
  <c r="AP251" i="13"/>
  <c r="AE49" i="10"/>
  <c r="AF49" i="10"/>
  <c r="AE62" i="10"/>
  <c r="AF62" i="10"/>
  <c r="M9" i="12"/>
  <c r="I11" i="12"/>
  <c r="M34" i="12"/>
  <c r="I35" i="12"/>
  <c r="AY350" i="13"/>
  <c r="AX350" i="13"/>
  <c r="AR84" i="13"/>
  <c r="AS84" i="13"/>
  <c r="AU147" i="13"/>
  <c r="AV147" i="13"/>
  <c r="AQ150" i="13"/>
  <c r="AR150" i="13"/>
  <c r="AU250" i="13"/>
  <c r="AT250" i="13"/>
  <c r="AT251" i="13"/>
  <c r="AS251" i="13"/>
  <c r="AQ261" i="13"/>
  <c r="AW293" i="13"/>
  <c r="AX293" i="13"/>
  <c r="AR308" i="13"/>
  <c r="AQ308" i="13"/>
  <c r="AP185" i="13"/>
  <c r="AQ185" i="13"/>
  <c r="AD311" i="13"/>
  <c r="AE311" i="13"/>
  <c r="AD205" i="13"/>
  <c r="AE205" i="13"/>
  <c r="AF428" i="13"/>
  <c r="AE428" i="13"/>
  <c r="AF260" i="13"/>
  <c r="AE260" i="13"/>
  <c r="AF167" i="13"/>
  <c r="AE167" i="13"/>
  <c r="AF198" i="13"/>
  <c r="AQ88" i="13"/>
  <c r="AP88" i="13"/>
  <c r="AP140" i="13"/>
  <c r="AQ140" i="13"/>
  <c r="AI94" i="13"/>
  <c r="AJ94" i="13"/>
  <c r="AI101" i="13"/>
  <c r="AJ101" i="13"/>
  <c r="AG83" i="13"/>
  <c r="AD215" i="13"/>
  <c r="Y49" i="10"/>
  <c r="Z49" i="10"/>
  <c r="Y69" i="10"/>
  <c r="Z69" i="10"/>
  <c r="AY218" i="13"/>
  <c r="AX218" i="13"/>
  <c r="AY273" i="13"/>
  <c r="AX273" i="13"/>
  <c r="AP246" i="13"/>
  <c r="AQ246" i="13"/>
  <c r="AG376" i="13"/>
  <c r="AF376" i="13"/>
  <c r="AH349" i="13"/>
  <c r="AG349" i="13"/>
  <c r="AH82" i="13"/>
  <c r="AG82" i="13"/>
  <c r="AH306" i="13"/>
  <c r="AI306" i="13"/>
  <c r="AH117" i="13"/>
  <c r="AI117" i="13"/>
  <c r="AF17" i="10"/>
  <c r="AE17" i="10"/>
  <c r="AA20" i="10"/>
  <c r="Z20" i="10"/>
  <c r="AY74" i="13"/>
  <c r="AX74" i="13"/>
  <c r="AV399" i="13"/>
  <c r="AW399" i="13"/>
  <c r="AI315" i="13"/>
  <c r="Z71" i="10"/>
  <c r="Y71" i="10"/>
  <c r="Z73" i="10"/>
  <c r="Y73" i="10"/>
  <c r="AY104" i="13"/>
  <c r="AX104" i="13"/>
  <c r="AW107" i="13"/>
  <c r="AX107" i="13"/>
  <c r="AW219" i="13"/>
  <c r="AX219" i="13"/>
  <c r="AW358" i="13"/>
  <c r="AX358" i="13"/>
  <c r="AW370" i="13"/>
  <c r="AX370" i="13"/>
  <c r="AN230" i="13"/>
  <c r="AO230" i="13"/>
  <c r="AN285" i="13"/>
  <c r="AO285" i="13"/>
  <c r="AM87" i="13"/>
  <c r="AN87" i="13"/>
  <c r="AM155" i="13"/>
  <c r="AN155" i="13"/>
  <c r="AN308" i="13"/>
  <c r="AM308" i="13"/>
  <c r="AM374" i="13"/>
  <c r="AL155" i="13"/>
  <c r="AL184" i="13"/>
  <c r="AJ315" i="13"/>
  <c r="AJ331" i="13"/>
  <c r="AK331" i="13"/>
  <c r="AE222" i="13"/>
  <c r="AC156" i="13"/>
  <c r="AT199" i="13"/>
  <c r="AJ286" i="13"/>
  <c r="Y6" i="10"/>
  <c r="AU132" i="13"/>
  <c r="AV61" i="13"/>
  <c r="AX141" i="13"/>
  <c r="AX51" i="13"/>
  <c r="Z45" i="10"/>
  <c r="AE28" i="10"/>
  <c r="L181" i="4"/>
  <c r="N181" i="4" s="1"/>
  <c r="Y74" i="10"/>
  <c r="Y83" i="10"/>
  <c r="AR209" i="13"/>
  <c r="AV36" i="13"/>
  <c r="AR343" i="13"/>
  <c r="AV372" i="13"/>
  <c r="AX388" i="13"/>
  <c r="AN103" i="13"/>
  <c r="AM75" i="13"/>
  <c r="AK337" i="13"/>
  <c r="AJ423" i="13"/>
  <c r="AD326" i="13"/>
  <c r="AC115" i="13"/>
  <c r="AH66" i="13"/>
  <c r="AH332" i="13"/>
  <c r="J39" i="12"/>
  <c r="AS131" i="13"/>
  <c r="L135" i="4"/>
  <c r="N135" i="4" s="1"/>
  <c r="Z7" i="10"/>
  <c r="Y9" i="10"/>
  <c r="L137" i="4"/>
  <c r="N137" i="4" s="1"/>
  <c r="L141" i="4"/>
  <c r="N141" i="4" s="1"/>
  <c r="K189" i="4"/>
  <c r="K51" i="12"/>
  <c r="M45" i="12"/>
  <c r="M33" i="12"/>
  <c r="K35" i="12"/>
  <c r="J43" i="12"/>
  <c r="AS15" i="13"/>
  <c r="AQ274" i="13"/>
  <c r="AW394" i="13"/>
  <c r="AC389" i="13"/>
  <c r="AC349" i="13"/>
  <c r="AC212" i="13"/>
  <c r="AF115" i="13"/>
  <c r="AU67" i="13"/>
  <c r="AV67" i="13"/>
  <c r="AT141" i="13"/>
  <c r="AU141" i="13"/>
  <c r="AG268" i="13"/>
  <c r="AF268" i="13"/>
  <c r="AH265" i="13"/>
  <c r="AG265" i="13"/>
  <c r="AG337" i="13"/>
  <c r="AH337" i="13"/>
  <c r="AE386" i="13"/>
  <c r="AR174" i="13"/>
  <c r="AO170" i="13"/>
  <c r="AS105" i="13"/>
  <c r="Z74" i="10"/>
  <c r="AA40" i="10"/>
  <c r="Z40" i="10"/>
  <c r="AT15" i="13"/>
  <c r="AU180" i="13"/>
  <c r="AT180" i="13"/>
  <c r="AT360" i="13"/>
  <c r="AS360" i="13"/>
  <c r="AJ71" i="13"/>
  <c r="AK71" i="13"/>
  <c r="AJ345" i="13"/>
  <c r="AH212" i="13"/>
  <c r="AD97" i="13"/>
  <c r="AD381" i="13"/>
  <c r="AE381" i="13"/>
  <c r="AE160" i="13"/>
  <c r="AD160" i="13"/>
  <c r="AH124" i="13"/>
  <c r="AG217" i="13"/>
  <c r="AI114" i="13"/>
  <c r="AF60" i="13"/>
  <c r="AG60" i="13"/>
  <c r="AQ269" i="13"/>
  <c r="AA48" i="10"/>
  <c r="Z48" i="10"/>
  <c r="AA35" i="10"/>
  <c r="Z35" i="10"/>
  <c r="I87" i="12"/>
  <c r="M85" i="12"/>
  <c r="AY186" i="13"/>
  <c r="AX186" i="13"/>
  <c r="AX267" i="13"/>
  <c r="AY267" i="13"/>
  <c r="AX28" i="13"/>
  <c r="AY28" i="13"/>
  <c r="AS244" i="13"/>
  <c r="AR244" i="13"/>
  <c r="AW313" i="13"/>
  <c r="AX313" i="13"/>
  <c r="AC429" i="13"/>
  <c r="AD429" i="13"/>
  <c r="Z65" i="10"/>
  <c r="Y65" i="10"/>
  <c r="N6" i="12"/>
  <c r="AU181" i="13"/>
  <c r="AV181" i="13"/>
  <c r="AF20" i="10"/>
  <c r="AW352" i="13"/>
  <c r="N70" i="12"/>
  <c r="O70" i="12" s="1"/>
  <c r="AA6" i="10"/>
  <c r="Z6" i="10"/>
  <c r="EE15" i="8"/>
  <c r="N15" i="7" s="1"/>
  <c r="L15" i="7"/>
  <c r="AX91" i="13"/>
  <c r="AY91" i="13"/>
  <c r="AY372" i="13"/>
  <c r="AX372" i="13"/>
  <c r="AX312" i="13"/>
  <c r="AY312" i="13"/>
  <c r="AW78" i="13"/>
  <c r="AX78" i="13"/>
  <c r="AR120" i="13"/>
  <c r="AQ120" i="13"/>
  <c r="AS136" i="13"/>
  <c r="AR136" i="13"/>
  <c r="AQ151" i="13"/>
  <c r="AR151" i="13"/>
  <c r="AV199" i="13"/>
  <c r="AU199" i="13"/>
  <c r="AQ301" i="13"/>
  <c r="AT392" i="13"/>
  <c r="AS392" i="13"/>
  <c r="AO430" i="13"/>
  <c r="AP430" i="13"/>
  <c r="AM66" i="13"/>
  <c r="AM92" i="13"/>
  <c r="AN92" i="13"/>
  <c r="AM184" i="13"/>
  <c r="AM213" i="13"/>
  <c r="AN213" i="13"/>
  <c r="AM401" i="13"/>
  <c r="AN401" i="13"/>
  <c r="AM410" i="13"/>
  <c r="AN410" i="13"/>
  <c r="AL213" i="13"/>
  <c r="AH126" i="13"/>
  <c r="AG433" i="13"/>
  <c r="AD260" i="13"/>
  <c r="AF266" i="13"/>
  <c r="AE266" i="13"/>
  <c r="AG93" i="13"/>
  <c r="AF48" i="10"/>
  <c r="L107" i="4"/>
  <c r="L147" i="4"/>
  <c r="N147" i="4" s="1"/>
  <c r="I39" i="12"/>
  <c r="M61" i="12"/>
  <c r="K95" i="12"/>
  <c r="L145" i="4"/>
  <c r="N145" i="4" s="1"/>
  <c r="AX50" i="13"/>
  <c r="AY50" i="13"/>
  <c r="AX384" i="13"/>
  <c r="AY384" i="13"/>
  <c r="AX397" i="13"/>
  <c r="AY397" i="13"/>
  <c r="AX382" i="13"/>
  <c r="AY382" i="13"/>
  <c r="AR105" i="13"/>
  <c r="AU15" i="13"/>
  <c r="AS16" i="13"/>
  <c r="AV175" i="13"/>
  <c r="AW177" i="13"/>
  <c r="AT178" i="13"/>
  <c r="AT244" i="13"/>
  <c r="AS271" i="13"/>
  <c r="AT296" i="13"/>
  <c r="AW312" i="13"/>
  <c r="AO240" i="13"/>
  <c r="AI75" i="13"/>
  <c r="AC314" i="13"/>
  <c r="AE376" i="13"/>
  <c r="AH431" i="13"/>
  <c r="K190" i="4"/>
  <c r="M62" i="12"/>
  <c r="N62" i="12" s="1"/>
  <c r="O62" i="12" s="1"/>
  <c r="AX336" i="13"/>
  <c r="AY336" i="13"/>
  <c r="AX62" i="13"/>
  <c r="AY62" i="13"/>
  <c r="AX10" i="13"/>
  <c r="AY10" i="13"/>
  <c r="AX148" i="13"/>
  <c r="AY148" i="13"/>
  <c r="AN304" i="13"/>
  <c r="AL96" i="13"/>
  <c r="AK184" i="13"/>
  <c r="AC260" i="13"/>
  <c r="AC153" i="13"/>
  <c r="L33" i="4"/>
  <c r="L9" i="4"/>
  <c r="Y45" i="10"/>
  <c r="M37" i="12"/>
  <c r="J63" i="12"/>
  <c r="J55" i="12"/>
  <c r="AX53" i="13"/>
  <c r="AY53" i="13"/>
  <c r="AT125" i="13"/>
  <c r="AS283" i="13"/>
  <c r="AV352" i="13"/>
  <c r="AU372" i="13"/>
  <c r="AJ149" i="13"/>
  <c r="AJ307" i="13"/>
  <c r="AJ328" i="13"/>
  <c r="AC311" i="13"/>
  <c r="AC117" i="13"/>
  <c r="EE8" i="8"/>
  <c r="N8" i="7" s="1"/>
  <c r="L199" i="4"/>
  <c r="N199" i="4" s="1"/>
  <c r="L23" i="4"/>
  <c r="L57" i="4"/>
  <c r="N57" i="4" s="1"/>
  <c r="L125" i="4"/>
  <c r="N125" i="4" s="1"/>
  <c r="L93" i="4"/>
  <c r="N93" i="4" s="1"/>
  <c r="L81" i="4"/>
  <c r="L67" i="4"/>
  <c r="L27" i="4"/>
  <c r="L19" i="4"/>
  <c r="L11" i="4"/>
  <c r="L143" i="4"/>
  <c r="N143" i="4" s="1"/>
  <c r="L103" i="4"/>
  <c r="N103" i="4" s="1"/>
  <c r="L95" i="4"/>
  <c r="N95" i="4" s="1"/>
  <c r="L51" i="4"/>
  <c r="N51" i="4" s="1"/>
  <c r="L101" i="4"/>
  <c r="N101" i="4" s="1"/>
  <c r="L99" i="4"/>
  <c r="N99" i="4" s="1"/>
  <c r="L73" i="4"/>
  <c r="L71" i="4"/>
  <c r="L37" i="4"/>
  <c r="L21" i="4"/>
  <c r="L13" i="4"/>
  <c r="N13" i="4" s="1"/>
  <c r="L5" i="4"/>
  <c r="L39" i="4"/>
  <c r="N39" i="4" s="1"/>
  <c r="L49" i="4"/>
  <c r="N49" i="4" s="1"/>
  <c r="L127" i="4"/>
  <c r="N127" i="4" s="1"/>
  <c r="L41" i="4"/>
  <c r="N41" i="4" s="1"/>
  <c r="L105" i="4"/>
  <c r="L77" i="4"/>
  <c r="L69" i="4"/>
  <c r="L43" i="4"/>
  <c r="N43" i="4" s="1"/>
  <c r="AE7" i="10"/>
  <c r="AF7" i="10"/>
  <c r="K91" i="12"/>
  <c r="M89" i="12"/>
  <c r="Y84" i="10"/>
  <c r="Z84" i="10"/>
  <c r="EE27" i="8"/>
  <c r="N27" i="7" s="1"/>
  <c r="L27" i="7"/>
  <c r="AR75" i="13"/>
  <c r="AQ75" i="13"/>
  <c r="AT119" i="13"/>
  <c r="AU119" i="13"/>
  <c r="AT162" i="13"/>
  <c r="AU162" i="13"/>
  <c r="AR170" i="13"/>
  <c r="AQ170" i="13"/>
  <c r="AV378" i="13"/>
  <c r="AU378" i="13"/>
  <c r="AW380" i="13"/>
  <c r="AX380" i="13"/>
  <c r="AC106" i="13"/>
  <c r="AD106" i="13"/>
  <c r="AD371" i="13"/>
  <c r="AC371" i="13"/>
  <c r="AC385" i="13"/>
  <c r="AD385" i="13"/>
  <c r="AI367" i="13"/>
  <c r="AH367" i="13"/>
  <c r="AH353" i="13"/>
  <c r="AI353" i="13"/>
  <c r="AR187" i="13"/>
  <c r="AT16" i="13"/>
  <c r="AF16" i="10"/>
  <c r="K63" i="12"/>
  <c r="L119" i="4"/>
  <c r="M42" i="12"/>
  <c r="I43" i="12"/>
  <c r="K219" i="4"/>
  <c r="AR88" i="13"/>
  <c r="AS88" i="13"/>
  <c r="AU102" i="13"/>
  <c r="AT102" i="13"/>
  <c r="AU140" i="13"/>
  <c r="AT140" i="13"/>
  <c r="AT224" i="13"/>
  <c r="AU224" i="13"/>
  <c r="AU414" i="13"/>
  <c r="AV414" i="13"/>
  <c r="AJ123" i="13"/>
  <c r="AK123" i="13"/>
  <c r="AV361" i="13"/>
  <c r="AU361" i="13"/>
  <c r="AN66" i="13"/>
  <c r="AO66" i="13"/>
  <c r="AN288" i="13"/>
  <c r="AO288" i="13"/>
  <c r="AA22" i="10"/>
  <c r="Z22" i="10"/>
  <c r="Y62" i="10"/>
  <c r="Z62" i="10"/>
  <c r="I67" i="12"/>
  <c r="M65" i="12"/>
  <c r="N66" i="12" s="1"/>
  <c r="O66" i="12" s="1"/>
  <c r="Y12" i="10"/>
  <c r="AA28" i="10"/>
  <c r="Z28" i="10"/>
  <c r="M10" i="12"/>
  <c r="N10" i="12" s="1"/>
  <c r="J11" i="12"/>
  <c r="AQ15" i="13"/>
  <c r="AR15" i="13"/>
  <c r="AW144" i="13"/>
  <c r="AX144" i="13"/>
  <c r="AW157" i="13"/>
  <c r="AX157" i="13"/>
  <c r="AF80" i="10"/>
  <c r="Y51" i="10"/>
  <c r="Z25" i="10"/>
  <c r="AA25" i="10"/>
  <c r="Z75" i="10"/>
  <c r="AA75" i="10"/>
  <c r="Y59" i="10"/>
  <c r="AT100" i="13"/>
  <c r="AS100" i="13"/>
  <c r="AS191" i="13"/>
  <c r="AR191" i="13"/>
  <c r="AS208" i="13"/>
  <c r="AT208" i="13"/>
  <c r="AV420" i="13"/>
  <c r="AU420" i="13"/>
  <c r="AW424" i="13"/>
  <c r="AX424" i="13"/>
  <c r="AP342" i="13"/>
  <c r="AQ342" i="13"/>
  <c r="Z17" i="10"/>
  <c r="Z42" i="10"/>
  <c r="Z50" i="10"/>
  <c r="AF29" i="10"/>
  <c r="AE35" i="10"/>
  <c r="N82" i="12"/>
  <c r="O82" i="12" s="1"/>
  <c r="N26" i="12"/>
  <c r="O26" i="12" s="1"/>
  <c r="L123" i="4"/>
  <c r="L97" i="4"/>
  <c r="N97" i="4" s="1"/>
  <c r="L85" i="4"/>
  <c r="N85" i="4" s="1"/>
  <c r="L79" i="4"/>
  <c r="L65" i="4"/>
  <c r="L29" i="4"/>
  <c r="L17" i="4"/>
  <c r="N17" i="4" s="1"/>
  <c r="EA20" i="8"/>
  <c r="EC20" i="8" s="1"/>
  <c r="Z77" i="10"/>
  <c r="Y42" i="10"/>
  <c r="Y54" i="10"/>
  <c r="Y67" i="10"/>
  <c r="Y16" i="10"/>
  <c r="Y72" i="10"/>
  <c r="Y35" i="10"/>
  <c r="Y46" i="10"/>
  <c r="K187" i="4"/>
  <c r="K186" i="4"/>
  <c r="M38" i="12"/>
  <c r="N38" i="12" s="1"/>
  <c r="O38" i="12" s="1"/>
  <c r="J87" i="12"/>
  <c r="J47" i="12"/>
  <c r="K225" i="4"/>
  <c r="AX287" i="13"/>
  <c r="AQ105" i="13"/>
  <c r="AV146" i="13"/>
  <c r="AU164" i="13"/>
  <c r="AT164" i="13"/>
  <c r="AW211" i="13"/>
  <c r="AU215" i="13"/>
  <c r="AQ248" i="13"/>
  <c r="AU263" i="13"/>
  <c r="AU272" i="13"/>
  <c r="AW30" i="13"/>
  <c r="AW372" i="13"/>
  <c r="AP73" i="13"/>
  <c r="AO73" i="13"/>
  <c r="AK149" i="13"/>
  <c r="AK228" i="13"/>
  <c r="AD206" i="13"/>
  <c r="AC206" i="13"/>
  <c r="AC247" i="13"/>
  <c r="AD247" i="13"/>
  <c r="AG188" i="13"/>
  <c r="AH188" i="13"/>
  <c r="AG288" i="13"/>
  <c r="AH288" i="13"/>
  <c r="AF117" i="13"/>
  <c r="AG117" i="13"/>
  <c r="AH223" i="13"/>
  <c r="AG223" i="13"/>
  <c r="AH116" i="13"/>
  <c r="AG116" i="13"/>
  <c r="AG54" i="13"/>
  <c r="AH54" i="13"/>
  <c r="AI143" i="13"/>
  <c r="AH143" i="13"/>
  <c r="M41" i="12"/>
  <c r="K224" i="4"/>
  <c r="L225" i="4" s="1"/>
  <c r="N225" i="4" s="1"/>
  <c r="AS301" i="13"/>
  <c r="AS308" i="13"/>
  <c r="AT308" i="13"/>
  <c r="AR374" i="13"/>
  <c r="AQ374" i="13"/>
  <c r="AN169" i="13"/>
  <c r="AN421" i="13"/>
  <c r="AO421" i="13"/>
  <c r="AM254" i="13"/>
  <c r="AN254" i="13"/>
  <c r="AD265" i="13"/>
  <c r="AE265" i="13"/>
  <c r="AD317" i="13"/>
  <c r="AE317" i="13"/>
  <c r="AD318" i="13"/>
  <c r="AE318" i="13"/>
  <c r="AF212" i="13"/>
  <c r="AG212" i="13"/>
  <c r="AF412" i="13"/>
  <c r="AG361" i="13"/>
  <c r="AF361" i="13"/>
  <c r="AG431" i="13"/>
  <c r="L121" i="4"/>
  <c r="L109" i="4"/>
  <c r="L87" i="4"/>
  <c r="N87" i="4" s="1"/>
  <c r="L83" i="4"/>
  <c r="L31" i="4"/>
  <c r="L133" i="4"/>
  <c r="N133" i="4" s="1"/>
  <c r="Y7" i="10"/>
  <c r="Y50" i="10"/>
  <c r="Y77" i="10"/>
  <c r="Y79" i="10"/>
  <c r="L139" i="4"/>
  <c r="N139" i="4" s="1"/>
  <c r="M90" i="12"/>
  <c r="N90" i="12" s="1"/>
  <c r="O90" i="12" s="1"/>
  <c r="M58" i="12"/>
  <c r="I51" i="12"/>
  <c r="J35" i="12"/>
  <c r="K218" i="4"/>
  <c r="AV154" i="13"/>
  <c r="AU154" i="13"/>
  <c r="AR171" i="13"/>
  <c r="AS171" i="13"/>
  <c r="AT190" i="13"/>
  <c r="AS190" i="13"/>
  <c r="AS270" i="13"/>
  <c r="AR301" i="13"/>
  <c r="AS305" i="13"/>
  <c r="AT419" i="13"/>
  <c r="AN184" i="13"/>
  <c r="AL286" i="13"/>
  <c r="AM286" i="13"/>
  <c r="AD111" i="13"/>
  <c r="AE111" i="13"/>
  <c r="AE213" i="13"/>
  <c r="AF213" i="13"/>
  <c r="AS168" i="13"/>
  <c r="AQ278" i="13"/>
  <c r="AQ405" i="13"/>
  <c r="AP68" i="13"/>
  <c r="AP135" i="13"/>
  <c r="AP309" i="13"/>
  <c r="AO301" i="13"/>
  <c r="AO54" i="13"/>
  <c r="AN75" i="13"/>
  <c r="AN197" i="13"/>
  <c r="AN279" i="13"/>
  <c r="AN422" i="13"/>
  <c r="AM103" i="13"/>
  <c r="AM200" i="13"/>
  <c r="AM306" i="13"/>
  <c r="AM337" i="13"/>
  <c r="AL123" i="13"/>
  <c r="AJ197" i="13"/>
  <c r="AJ241" i="13"/>
  <c r="AD349" i="13"/>
  <c r="AI183" i="13"/>
  <c r="AO154" i="13"/>
  <c r="AO403" i="13"/>
  <c r="AJ291" i="13"/>
  <c r="AJ332" i="13"/>
  <c r="AI83" i="13"/>
  <c r="AC83" i="13"/>
  <c r="AG109" i="13"/>
  <c r="AP105" i="13"/>
  <c r="AO184" i="13"/>
  <c r="AO304" i="13"/>
  <c r="AN342" i="13"/>
  <c r="AL149" i="13"/>
  <c r="AK103" i="13"/>
  <c r="K191" i="4"/>
  <c r="L21" i="7"/>
  <c r="M21" i="7" s="1"/>
  <c r="L34" i="7"/>
  <c r="M34" i="7" s="1"/>
  <c r="L39" i="7"/>
  <c r="M39" i="7" s="1"/>
  <c r="EE25" i="8"/>
  <c r="N25" i="7" s="1"/>
  <c r="M25" i="7" s="1"/>
  <c r="EE31" i="8"/>
  <c r="N31" i="7" s="1"/>
  <c r="M31" i="7" s="1"/>
  <c r="EE38" i="8"/>
  <c r="N38" i="7" s="1"/>
  <c r="M38" i="7" s="1"/>
  <c r="EE45" i="8"/>
  <c r="N45" i="7" s="1"/>
  <c r="M45" i="7" s="1"/>
  <c r="L23" i="7"/>
  <c r="M23" i="7" s="1"/>
  <c r="L17" i="7"/>
  <c r="M17" i="7" s="1"/>
  <c r="L22" i="7"/>
  <c r="M22" i="7" s="1"/>
  <c r="N93" i="6"/>
  <c r="J90" i="7"/>
  <c r="L11" i="7"/>
  <c r="L30" i="7"/>
  <c r="M30" i="7" s="1"/>
  <c r="L44" i="7"/>
  <c r="M44" i="7" s="1"/>
  <c r="L20" i="7"/>
  <c r="M20" i="7" s="1"/>
  <c r="EE12" i="8"/>
  <c r="N12" i="7" s="1"/>
  <c r="EE28" i="8"/>
  <c r="N28" i="7" s="1"/>
  <c r="M28" i="7" s="1"/>
  <c r="L14" i="7"/>
  <c r="EE19" i="8"/>
  <c r="N19" i="7" s="1"/>
  <c r="M19" i="7" s="1"/>
  <c r="L46" i="7"/>
  <c r="M46" i="7" s="1"/>
  <c r="L43" i="7"/>
  <c r="M43" i="7" s="1"/>
  <c r="L7" i="7"/>
  <c r="L36" i="7"/>
  <c r="M36" i="7" s="1"/>
  <c r="EE16" i="8"/>
  <c r="N16" i="7" s="1"/>
  <c r="M16" i="7" s="1"/>
  <c r="EE37" i="8"/>
  <c r="N37" i="7" s="1"/>
  <c r="M37" i="7" s="1"/>
  <c r="EE41" i="8"/>
  <c r="N41" i="7" s="1"/>
  <c r="M41" i="7" s="1"/>
  <c r="L29" i="7"/>
  <c r="M29" i="7" s="1"/>
  <c r="L24" i="7"/>
  <c r="M24" i="7" s="1"/>
  <c r="M32" i="7"/>
  <c r="L42" i="7"/>
  <c r="M42" i="7" s="1"/>
  <c r="K188" i="4"/>
  <c r="I55" i="12"/>
  <c r="M54" i="12"/>
  <c r="N54" i="12" s="1"/>
  <c r="O54" i="12" s="1"/>
  <c r="I31" i="12"/>
  <c r="M30" i="12"/>
  <c r="N30" i="12" s="1"/>
  <c r="O30" i="12" s="1"/>
  <c r="EE6" i="8"/>
  <c r="N6" i="7" s="1"/>
  <c r="L6" i="7"/>
  <c r="L18" i="7"/>
  <c r="EE18" i="8"/>
  <c r="N18" i="7" s="1"/>
  <c r="AR348" i="13"/>
  <c r="AQ348" i="13"/>
  <c r="AU368" i="13"/>
  <c r="I91" i="12"/>
  <c r="Z76" i="10"/>
  <c r="Z16" i="10"/>
  <c r="Z26" i="10"/>
  <c r="Y36" i="10"/>
  <c r="M49" i="12"/>
  <c r="N50" i="12" s="1"/>
  <c r="O50" i="12" s="1"/>
  <c r="N18" i="12"/>
  <c r="O18" i="12" s="1"/>
  <c r="L89" i="4"/>
  <c r="N89" i="4" s="1"/>
  <c r="L75" i="4"/>
  <c r="L35" i="4"/>
  <c r="L25" i="4"/>
  <c r="Z23" i="10"/>
  <c r="L45" i="4"/>
  <c r="N45" i="4" s="1"/>
  <c r="K59" i="12"/>
  <c r="M57" i="12"/>
  <c r="EE33" i="8"/>
  <c r="N33" i="7" s="1"/>
  <c r="L33" i="7"/>
  <c r="AU161" i="13"/>
  <c r="AT161" i="13"/>
  <c r="AW182" i="13"/>
  <c r="AX182" i="13"/>
  <c r="AT232" i="13"/>
  <c r="AU232" i="13"/>
  <c r="AU235" i="13"/>
  <c r="AT235" i="13"/>
  <c r="L91" i="4"/>
  <c r="N91" i="4" s="1"/>
  <c r="M86" i="12"/>
  <c r="M14" i="12"/>
  <c r="N14" i="12" s="1"/>
  <c r="O14" i="12" s="1"/>
  <c r="I15" i="12"/>
  <c r="M94" i="12"/>
  <c r="N94" i="12" s="1"/>
  <c r="O94" i="12" s="1"/>
  <c r="I95" i="12"/>
  <c r="L26" i="7"/>
  <c r="M26" i="7" s="1"/>
  <c r="Z54" i="10"/>
  <c r="Y15" i="10"/>
  <c r="L15" i="4"/>
  <c r="N15" i="4" s="1"/>
  <c r="L7" i="4"/>
  <c r="L213" i="4"/>
  <c r="N213" i="4" s="1"/>
  <c r="L183" i="4"/>
  <c r="N183" i="4" s="1"/>
  <c r="J59" i="12"/>
  <c r="EE13" i="8"/>
  <c r="N13" i="7" s="1"/>
  <c r="L13" i="7"/>
  <c r="EE35" i="8"/>
  <c r="N35" i="7" s="1"/>
  <c r="L35" i="7"/>
  <c r="AW181" i="13"/>
  <c r="AX181" i="13"/>
  <c r="AS201" i="13"/>
  <c r="AR201" i="13"/>
  <c r="AT48" i="13"/>
  <c r="AS48" i="13"/>
  <c r="AT227" i="13"/>
  <c r="AS227" i="13"/>
  <c r="AS275" i="13"/>
  <c r="AR275" i="13"/>
  <c r="AU276" i="13"/>
  <c r="AW36" i="13"/>
  <c r="AQ290" i="13"/>
  <c r="AR290" i="13"/>
  <c r="AU294" i="13"/>
  <c r="AT294" i="13"/>
  <c r="AS296" i="13"/>
  <c r="AR296" i="13"/>
  <c r="AU128" i="13"/>
  <c r="AT128" i="13"/>
  <c r="AU158" i="13"/>
  <c r="AT158" i="13"/>
  <c r="AT303" i="13"/>
  <c r="AS303" i="13"/>
  <c r="AQ320" i="13"/>
  <c r="AR320" i="13"/>
  <c r="AR63" i="13"/>
  <c r="AS63" i="13"/>
  <c r="AT228" i="13"/>
  <c r="AS228" i="13"/>
  <c r="AT290" i="13"/>
  <c r="AS290" i="13"/>
  <c r="AT292" i="13"/>
  <c r="AU292" i="13"/>
  <c r="AS192" i="13"/>
  <c r="AQ196" i="13"/>
  <c r="AU204" i="13"/>
  <c r="AT226" i="13"/>
  <c r="AT270" i="13"/>
  <c r="AQ306" i="13"/>
  <c r="AW388" i="13"/>
  <c r="AV388" i="13"/>
  <c r="AU333" i="13"/>
  <c r="AV333" i="13"/>
  <c r="AT305" i="13"/>
  <c r="AR341" i="13"/>
  <c r="AS341" i="13"/>
  <c r="AV28" i="13"/>
  <c r="AU28" i="13"/>
  <c r="AT364" i="13"/>
  <c r="AU409" i="13"/>
  <c r="AS427" i="13"/>
  <c r="AS432" i="13"/>
  <c r="AP179" i="13"/>
  <c r="AK315" i="13"/>
  <c r="AW398" i="13"/>
  <c r="AU416" i="13"/>
  <c r="AQ417" i="13"/>
  <c r="AU419" i="13"/>
  <c r="AQ422" i="13"/>
  <c r="AS426" i="13"/>
  <c r="AU432" i="13"/>
  <c r="AU434" i="13"/>
  <c r="AO341" i="13"/>
  <c r="AN81" i="13"/>
  <c r="M27" i="7" l="1"/>
  <c r="M15" i="7"/>
  <c r="L191" i="4"/>
  <c r="N191" i="4" s="1"/>
  <c r="N34" i="12"/>
  <c r="O34" i="12" s="1"/>
  <c r="L189" i="4"/>
  <c r="N189" i="4" s="1"/>
  <c r="N58" i="12"/>
  <c r="O58" i="12" s="1"/>
  <c r="L219" i="4"/>
  <c r="N219" i="4" s="1"/>
  <c r="N86" i="12"/>
  <c r="O86" i="12" s="1"/>
  <c r="N42" i="12"/>
  <c r="O42" i="12" s="1"/>
  <c r="L187" i="4"/>
  <c r="N187" i="4" s="1"/>
  <c r="M33" i="7"/>
  <c r="M35" i="7"/>
  <c r="M1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Brand</author>
  </authors>
  <commentList>
    <comment ref="A77" authorId="0" shapeId="0" xr:uid="{00000000-0006-0000-0000-000001000000}">
      <text>
        <r>
          <rPr>
            <sz val="8"/>
            <color indexed="81"/>
            <rFont val="Tahoma"/>
            <family val="2"/>
          </rPr>
          <t>1st round Preliminary held at Convention.</t>
        </r>
      </text>
    </comment>
    <comment ref="A98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2nd round Preliminary held at Convention.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Brand</author>
  </authors>
  <commentList>
    <comment ref="A77" authorId="0" shapeId="0" xr:uid="{00000000-0006-0000-0100-000001000000}">
      <text>
        <r>
          <rPr>
            <sz val="8"/>
            <color indexed="81"/>
            <rFont val="Tahoma"/>
            <family val="2"/>
          </rPr>
          <t>1st round Preliminary held at Convention.</t>
        </r>
      </text>
    </comment>
    <comment ref="A98" authorId="0" shapeId="0" xr:uid="{00000000-0006-0000-0100-000002000000}">
      <text>
        <r>
          <rPr>
            <sz val="8"/>
            <color indexed="81"/>
            <rFont val="Tahoma"/>
            <family val="2"/>
          </rPr>
          <t>2nd round Preliinary held at Convention.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Brand</author>
  </authors>
  <commentList>
    <comment ref="A77" authorId="0" shapeId="0" xr:uid="{00000000-0006-0000-0200-000001000000}">
      <text>
        <r>
          <rPr>
            <sz val="8"/>
            <color indexed="81"/>
            <rFont val="Tahoma"/>
            <family val="2"/>
          </rPr>
          <t>1st round Preliminary held at Convention.</t>
        </r>
      </text>
    </comment>
    <comment ref="A98" authorId="0" shapeId="0" xr:uid="{00000000-0006-0000-0200-000002000000}">
      <text>
        <r>
          <rPr>
            <sz val="8"/>
            <color indexed="81"/>
            <rFont val="Tahoma"/>
            <family val="2"/>
          </rPr>
          <t>2nd round Preliinary held at Convention.</t>
        </r>
      </text>
    </comment>
  </commentList>
</comments>
</file>

<file path=xl/sharedStrings.xml><?xml version="1.0" encoding="utf-8"?>
<sst xmlns="http://schemas.openxmlformats.org/spreadsheetml/2006/main" count="21444" uniqueCount="4894">
  <si>
    <t>Keith Rayner 1</t>
  </si>
  <si>
    <t>Vintage Harmony</t>
  </si>
  <si>
    <t>George Stansfield</t>
  </si>
  <si>
    <t>White Rose B S</t>
  </si>
  <si>
    <t>Shannon Express 1</t>
  </si>
  <si>
    <t>Anvil Chorus 1</t>
  </si>
  <si>
    <t>Men of Gwent 1</t>
  </si>
  <si>
    <t>4th Amendment</t>
  </si>
  <si>
    <t>Prestones</t>
  </si>
  <si>
    <t>Greater Manch'</t>
  </si>
  <si>
    <t>Charter Four</t>
  </si>
  <si>
    <t>Derby</t>
  </si>
  <si>
    <t>Four of a Kind</t>
  </si>
  <si>
    <t>Low Profile</t>
  </si>
  <si>
    <t>Round Sound</t>
  </si>
  <si>
    <t>Mid-West Rebellion</t>
  </si>
  <si>
    <t>Bargate Boys</t>
  </si>
  <si>
    <t>Southampton</t>
  </si>
  <si>
    <t>New Brightones</t>
  </si>
  <si>
    <t>Temporary Arrangement</t>
  </si>
  <si>
    <t>Four Shore</t>
  </si>
  <si>
    <t>Tamarsiders</t>
  </si>
  <si>
    <t>Grand Union</t>
  </si>
  <si>
    <t>Met-A-Four</t>
  </si>
  <si>
    <t>Serenade</t>
  </si>
  <si>
    <t>Twenty-third in the North Only</t>
  </si>
  <si>
    <t>Twenty-fourth in the North Only</t>
  </si>
  <si>
    <t>Twenty-fifth in the North Only</t>
  </si>
  <si>
    <t>B'mouth &amp; E Dors'</t>
  </si>
  <si>
    <t>Ron Pike 1</t>
  </si>
  <si>
    <t>Paul Cousins 1</t>
  </si>
  <si>
    <t>Terry Bryant 1</t>
  </si>
  <si>
    <t>1988</t>
  </si>
  <si>
    <t>High Time</t>
  </si>
  <si>
    <t>Bradford &amp; Mold</t>
  </si>
  <si>
    <t>Steve Hall 4</t>
  </si>
  <si>
    <t>Keith Northrop 2</t>
  </si>
  <si>
    <t>Laurie Whittle</t>
  </si>
  <si>
    <t>Quartz Precision</t>
  </si>
  <si>
    <t>Crawley &amp; Bromley</t>
  </si>
  <si>
    <t>Derek Barton</t>
  </si>
  <si>
    <t>Brian Schofield 1</t>
  </si>
  <si>
    <t>Graham Smith 2</t>
  </si>
  <si>
    <t>Andy Clarke</t>
  </si>
  <si>
    <t>Jim Catt</t>
  </si>
  <si>
    <t>Phil Watson 1</t>
  </si>
  <si>
    <t>1989</t>
  </si>
  <si>
    <t>Derek Barton 2</t>
  </si>
  <si>
    <t>Team Spirit</t>
  </si>
  <si>
    <t>Worthing</t>
  </si>
  <si>
    <t>Andy Coan</t>
  </si>
  <si>
    <t>Gary Roussack</t>
  </si>
  <si>
    <t>QM</t>
  </si>
  <si>
    <t>Four McHugh</t>
  </si>
  <si>
    <t>Christopher Brian</t>
  </si>
  <si>
    <t>Why Not Now?</t>
  </si>
  <si>
    <t>Windsor / West London</t>
  </si>
  <si>
    <t>Neil Horchover</t>
  </si>
  <si>
    <t>Epic Atonal</t>
  </si>
  <si>
    <t>Andy MacPhee</t>
  </si>
  <si>
    <t>Graeme Crawford</t>
  </si>
  <si>
    <t>Dan Jones</t>
  </si>
  <si>
    <t>Crucible</t>
  </si>
  <si>
    <t>Neil Carrier</t>
  </si>
  <si>
    <t>Pat Doherty</t>
  </si>
  <si>
    <t>Chords Direct</t>
  </si>
  <si>
    <t>Mark Soave</t>
  </si>
  <si>
    <t>Rob Langley-Jones</t>
  </si>
  <si>
    <t>Ian Wilkinson</t>
  </si>
  <si>
    <t>Half Eight</t>
  </si>
  <si>
    <t>David Enness</t>
  </si>
  <si>
    <t>Doug Freeman</t>
  </si>
  <si>
    <t>Ben Drewett</t>
  </si>
  <si>
    <t>Cantorum</t>
  </si>
  <si>
    <t>John Williams</t>
  </si>
  <si>
    <t>Peter Wigington</t>
  </si>
  <si>
    <t>Ian Brown</t>
  </si>
  <si>
    <t>Frank Jens</t>
  </si>
  <si>
    <t>David Bryant</t>
  </si>
  <si>
    <t>Kohn Kerr</t>
  </si>
  <si>
    <t>Apollo</t>
  </si>
  <si>
    <t>Nick Bryant</t>
  </si>
  <si>
    <t>Jonny Beedon</t>
  </si>
  <si>
    <t>Mark Smith</t>
  </si>
  <si>
    <t>Vocal Alchemy</t>
  </si>
  <si>
    <t>Paul Clay</t>
  </si>
  <si>
    <t>Chris Shannon</t>
  </si>
  <si>
    <t>Steve Gill</t>
  </si>
  <si>
    <t>The Manor Tops</t>
  </si>
  <si>
    <t>Alastair Smith</t>
  </si>
  <si>
    <t>Martin Harrison</t>
  </si>
  <si>
    <t>Paul Dalpra</t>
  </si>
  <si>
    <t>Kings of Herts - Roger Chantrelle</t>
  </si>
  <si>
    <t>Southern Union - Hugh Sainsbury</t>
  </si>
  <si>
    <t>Bromley Kentones - Frank Taylor</t>
  </si>
  <si>
    <t>White Horse Harmony - Bob Bridgeman</t>
  </si>
  <si>
    <t>Rainy City - Tom Percy</t>
  </si>
  <si>
    <t>Chelmsofrd Star Harmony - Mark Grindall</t>
  </si>
  <si>
    <t>Heart of England - Ian Phillips</t>
  </si>
  <si>
    <t>Surrey Fringe - Audrey Grayson</t>
  </si>
  <si>
    <t>Vale Harmony, Pershore - Mollie Hilton</t>
  </si>
  <si>
    <t>Great Western Chorus - Jeff Click</t>
  </si>
  <si>
    <t>Sound of Three Spires - Cherry Hartshorn</t>
  </si>
  <si>
    <t>The Highwaymen - Lynne Owen</t>
  </si>
  <si>
    <t>Surrey Fringe - Audrey Sentinella ne Grayson</t>
  </si>
  <si>
    <t>Thames Valley Chorus - Steve Hall</t>
  </si>
  <si>
    <t>Great Western Chorus, Bristol - Jeff Click</t>
  </si>
  <si>
    <t>Cotton Town Chorus - Michael Dargan</t>
  </si>
  <si>
    <t>Wye Valley Chorus - Martin Flory</t>
  </si>
  <si>
    <t>The Kingsmen - Roy Hann</t>
  </si>
  <si>
    <t>Bromley Kentones - Frank Taylor/Paul Palmer</t>
  </si>
  <si>
    <t>Alabamy Bound</t>
  </si>
  <si>
    <t>Indianapolis</t>
  </si>
  <si>
    <t>Atlanta</t>
  </si>
  <si>
    <t>The Band Played On Medley</t>
  </si>
  <si>
    <t>Alexander's Ragtime/ Back In Dixieland</t>
  </si>
  <si>
    <t>Anaheim</t>
  </si>
  <si>
    <t>Thames Valley Chorus</t>
  </si>
  <si>
    <t>Always</t>
  </si>
  <si>
    <t>Birth Of The Blues</t>
  </si>
  <si>
    <t>Kansas City</t>
  </si>
  <si>
    <t>If You Were The Only Girl In The World</t>
  </si>
  <si>
    <t>I Used To Love You/ Nobody's Sweetheart</t>
  </si>
  <si>
    <t>Nashville</t>
  </si>
  <si>
    <t>Do I Love You</t>
  </si>
  <si>
    <t>The Lady Is A Tramp Medley</t>
  </si>
  <si>
    <t>Portland</t>
  </si>
  <si>
    <t>Montreal</t>
  </si>
  <si>
    <t>Raining In My Heart</t>
  </si>
  <si>
    <t xml:space="preserve">Mother-In-Law Medley (Parody) </t>
  </si>
  <si>
    <t>Leeds</t>
  </si>
  <si>
    <t>Dave Arran</t>
  </si>
  <si>
    <t>David Brown</t>
  </si>
  <si>
    <t>Martin Ford</t>
  </si>
  <si>
    <t>Tim Braham 1</t>
  </si>
  <si>
    <t>1992</t>
  </si>
  <si>
    <t>David Brown 1</t>
  </si>
  <si>
    <t>Martin Ford 1</t>
  </si>
  <si>
    <t>Island Engagement</t>
  </si>
  <si>
    <t>IOW &amp; Ports'</t>
  </si>
  <si>
    <t>Alan Hartley 1</t>
  </si>
  <si>
    <t>Alan Sloper 1</t>
  </si>
  <si>
    <t>Stuart Sides 1</t>
  </si>
  <si>
    <t>Jon Conway 1</t>
  </si>
  <si>
    <t>1993</t>
  </si>
  <si>
    <t>Alan Hartley</t>
  </si>
  <si>
    <t>Alan Sloper</t>
  </si>
  <si>
    <t>Harmonix</t>
  </si>
  <si>
    <t>Potton</t>
  </si>
  <si>
    <t>Tony Bylett 1</t>
  </si>
  <si>
    <t>Jim Catt 2</t>
  </si>
  <si>
    <t>Geoff Unwin 1</t>
  </si>
  <si>
    <t>Ron Pike 3</t>
  </si>
  <si>
    <t>Paul Cousins 3</t>
  </si>
  <si>
    <t>Terry Bryant 3</t>
  </si>
  <si>
    <t>1994</t>
  </si>
  <si>
    <t>Sound Assembly</t>
  </si>
  <si>
    <t>W Mid/Bradf'd/Mon'</t>
  </si>
  <si>
    <t>Martin Ford 2</t>
  </si>
  <si>
    <t>Tony Bylett 2</t>
  </si>
  <si>
    <t>Jim Catt 3</t>
  </si>
  <si>
    <t>Geoff Unwin 2</t>
  </si>
  <si>
    <t>Phil Watson 2</t>
  </si>
  <si>
    <t>Chordial Exchange</t>
  </si>
  <si>
    <t>Manch' &amp; Bolton</t>
  </si>
  <si>
    <t>Chris Barnes</t>
  </si>
  <si>
    <t>Dave Roberts</t>
  </si>
  <si>
    <t>Tom Percy</t>
  </si>
  <si>
    <t>Tom Riley</t>
  </si>
  <si>
    <t>1995</t>
  </si>
  <si>
    <t>Smilin'Thru</t>
  </si>
  <si>
    <t>Russ Beedon</t>
  </si>
  <si>
    <t>David Brown 2</t>
  </si>
  <si>
    <t>Dave Brown</t>
  </si>
  <si>
    <t>John Mallett</t>
  </si>
  <si>
    <t>Richard Glyn</t>
  </si>
  <si>
    <t>David Moore</t>
  </si>
  <si>
    <t>Peter Riley</t>
  </si>
  <si>
    <t>Steve Riley</t>
  </si>
  <si>
    <t>Martin Kelly</t>
  </si>
  <si>
    <t>David Morris</t>
  </si>
  <si>
    <t>Kevan Liebling</t>
  </si>
  <si>
    <t>Robin Pond</t>
  </si>
  <si>
    <t>Jullian Gulliford</t>
  </si>
  <si>
    <t>Terry Adamson</t>
  </si>
  <si>
    <t>Tony Patman</t>
  </si>
  <si>
    <t>Tuxedo Junction 3</t>
  </si>
  <si>
    <t>5ways</t>
  </si>
  <si>
    <t>TVC</t>
  </si>
  <si>
    <t>Telfordairs</t>
  </si>
  <si>
    <t>Essex Chordsmen</t>
  </si>
  <si>
    <t>Chesham Bucaneers (Knights of Harmony) 1</t>
  </si>
  <si>
    <t>Chess Valley B S Singers ( Knights of Harmony) 2</t>
  </si>
  <si>
    <t>Long Beach</t>
  </si>
  <si>
    <t>It Happened In Monterea</t>
  </si>
  <si>
    <t>The Way You Looked Tonight</t>
  </si>
  <si>
    <t>Andy Foster 1</t>
  </si>
  <si>
    <t>Neil Firth 2</t>
  </si>
  <si>
    <t>2001 P</t>
  </si>
  <si>
    <t>New Dimension</t>
  </si>
  <si>
    <t>Joint Venture</t>
  </si>
  <si>
    <t>Kudos</t>
  </si>
  <si>
    <t>Mutual Agreement</t>
  </si>
  <si>
    <t>Sound Friends</t>
  </si>
  <si>
    <t>Pleasant Company</t>
  </si>
  <si>
    <t>Harmony Consortium</t>
  </si>
  <si>
    <t>Covernotes</t>
  </si>
  <si>
    <t>Fred Carney</t>
  </si>
  <si>
    <t>Alan Johnson</t>
  </si>
  <si>
    <t>1992 P</t>
  </si>
  <si>
    <t>Vocal Gentry</t>
  </si>
  <si>
    <t>Bradford</t>
  </si>
  <si>
    <t>Peter Higgins</t>
  </si>
  <si>
    <t>Maurice Magson</t>
  </si>
  <si>
    <t>Harry Ambler</t>
  </si>
  <si>
    <t>Senility</t>
  </si>
  <si>
    <t>John Harvey 1</t>
  </si>
  <si>
    <t>Bob Tatt</t>
  </si>
  <si>
    <t>Mark Barnacle</t>
  </si>
  <si>
    <t>Colin Harlow</t>
  </si>
  <si>
    <t>Peter Tatham</t>
  </si>
  <si>
    <t>Pennine Express</t>
  </si>
  <si>
    <t>Newport Blues</t>
  </si>
  <si>
    <t>Eric Gamblin</t>
  </si>
  <si>
    <t>Dave Martin</t>
  </si>
  <si>
    <t>Paul Davies</t>
  </si>
  <si>
    <t>Fourth 'n grand</t>
  </si>
  <si>
    <t>Roy Morrison</t>
  </si>
  <si>
    <t>Dave Peters</t>
  </si>
  <si>
    <t>Peak Pestige</t>
  </si>
  <si>
    <t>Sharp Practice</t>
  </si>
  <si>
    <t>Neil Rayner</t>
  </si>
  <si>
    <t>Vernon Royston</t>
  </si>
  <si>
    <t>Royal Exchange</t>
  </si>
  <si>
    <t>Pete Deakin</t>
  </si>
  <si>
    <t>Harold Powell</t>
  </si>
  <si>
    <t>Wilf Stone</t>
  </si>
  <si>
    <t>Lou Baurley</t>
  </si>
  <si>
    <t>John Steel-Child</t>
  </si>
  <si>
    <t>Phil Hilton</t>
  </si>
  <si>
    <t>Brian Jeffreys</t>
  </si>
  <si>
    <t>Nigel Wears</t>
  </si>
  <si>
    <t>Richard Parker</t>
  </si>
  <si>
    <t>Tony Wright</t>
  </si>
  <si>
    <t>Bob O'Brien</t>
  </si>
  <si>
    <t>Ken Bridges</t>
  </si>
  <si>
    <t>David Griffiths</t>
  </si>
  <si>
    <t>David Tanner 2</t>
  </si>
  <si>
    <t>Roy Dawson 3</t>
  </si>
  <si>
    <t>George Foley</t>
  </si>
  <si>
    <t>Des Cooke</t>
  </si>
  <si>
    <t>John Ward 2</t>
  </si>
  <si>
    <t>Tim Braham</t>
  </si>
  <si>
    <t>The Overlookers</t>
  </si>
  <si>
    <t>Patrick Corr</t>
  </si>
  <si>
    <t>Tony Riley</t>
  </si>
  <si>
    <t>Tom Riley 1</t>
  </si>
  <si>
    <t>Plus Four</t>
  </si>
  <si>
    <t>Mick Dargan</t>
  </si>
  <si>
    <t>Mike Hancock</t>
  </si>
  <si>
    <t>Tony Corr</t>
  </si>
  <si>
    <t>Simon Wilson</t>
  </si>
  <si>
    <t>Late Night Extra</t>
  </si>
  <si>
    <t>Sheffield/Leeds</t>
  </si>
  <si>
    <t>Russ Beeden</t>
  </si>
  <si>
    <t>Paul Grier</t>
  </si>
  <si>
    <t>Tom Riley 2</t>
  </si>
  <si>
    <t>Phil Watson 3</t>
  </si>
  <si>
    <t>Bernie Cureton 5</t>
  </si>
  <si>
    <t>Rumours</t>
  </si>
  <si>
    <t>Roy Dawson</t>
  </si>
  <si>
    <t>First</t>
  </si>
  <si>
    <t>Second</t>
  </si>
  <si>
    <t>Third</t>
  </si>
  <si>
    <t>PRELIMS COMBINED</t>
  </si>
  <si>
    <t>1994 P</t>
  </si>
  <si>
    <t>Phil Townsend</t>
  </si>
  <si>
    <t>No Mic Warmers</t>
  </si>
  <si>
    <t>John Price</t>
  </si>
  <si>
    <t>Richard Carr</t>
  </si>
  <si>
    <t>Martin Flory</t>
  </si>
  <si>
    <t>By Appointment</t>
  </si>
  <si>
    <t>Philip Wilson</t>
  </si>
  <si>
    <t>Fourth in the South Only</t>
  </si>
  <si>
    <t>Fifth in the South Only</t>
  </si>
  <si>
    <t>Sixth in the South Only</t>
  </si>
  <si>
    <t>Tom Ramsden</t>
  </si>
  <si>
    <t>Sid Petchey</t>
  </si>
  <si>
    <t>Halcyon</t>
  </si>
  <si>
    <t>Bill Ward</t>
  </si>
  <si>
    <t>Tony Littlewood</t>
  </si>
  <si>
    <t>Tony Langdon</t>
  </si>
  <si>
    <t>The Fortunairs</t>
  </si>
  <si>
    <t>Southern Tradition</t>
  </si>
  <si>
    <t>John Harvey 2</t>
  </si>
  <si>
    <t>Alan Hill 1</t>
  </si>
  <si>
    <t>Colin Thatcher</t>
  </si>
  <si>
    <t>Gerry Holland</t>
  </si>
  <si>
    <t>John Baker</t>
  </si>
  <si>
    <t>John Harvey</t>
  </si>
  <si>
    <t>Ye Olde Tonians</t>
  </si>
  <si>
    <t>Eric Beer 2</t>
  </si>
  <si>
    <t>Reg Pennington</t>
  </si>
  <si>
    <t>Eddie Howell</t>
  </si>
  <si>
    <t>Bifocal Minority</t>
  </si>
  <si>
    <t>Alan Wetherall</t>
  </si>
  <si>
    <t>Brian Davis</t>
  </si>
  <si>
    <t>Adrian Bryant</t>
  </si>
  <si>
    <t>David Blezzard</t>
  </si>
  <si>
    <t>Peter Davies</t>
  </si>
  <si>
    <t>Alan Perren</t>
  </si>
  <si>
    <t>Clive Rowe</t>
  </si>
  <si>
    <t>Chorus</t>
  </si>
  <si>
    <t>Cambridge Chord Company</t>
  </si>
  <si>
    <t>Spirit of Harmony</t>
  </si>
  <si>
    <t>Granite City Chorus</t>
  </si>
  <si>
    <t>Telfordaires</t>
  </si>
  <si>
    <t>Vocal Academy</t>
  </si>
  <si>
    <t>Great Western</t>
  </si>
  <si>
    <t>Capital Chorus</t>
  </si>
  <si>
    <t>Men</t>
  </si>
  <si>
    <t>No competition</t>
  </si>
  <si>
    <t>Westering Chorus (Bridgwater)</t>
  </si>
  <si>
    <t>Nottingham Gateway Chorus</t>
  </si>
  <si>
    <t>Chesham Buckaneers (Knights of Harmony)1</t>
  </si>
  <si>
    <t>Jubilee City Chorus (Derby)</t>
  </si>
  <si>
    <t>Westering (Bridgwater)</t>
  </si>
  <si>
    <t>The Charnwoods (Leicester)</t>
  </si>
  <si>
    <t>Worthingaires 1</t>
  </si>
  <si>
    <t>Pres'</t>
  </si>
  <si>
    <t>Sing'</t>
  </si>
  <si>
    <t>San Francisco</t>
  </si>
  <si>
    <t>Hallmark of Harmony</t>
  </si>
  <si>
    <t>*</t>
  </si>
  <si>
    <t>Louisville</t>
  </si>
  <si>
    <t>New Orleans</t>
  </si>
  <si>
    <t>Calgary</t>
  </si>
  <si>
    <t>Pittsburgh</t>
  </si>
  <si>
    <t>Grand Central</t>
  </si>
  <si>
    <t>Last Night Was The End Of The World</t>
  </si>
  <si>
    <t>I Never Knew I could Love Anybody/ You Were Meant For Me</t>
  </si>
  <si>
    <t>Miami</t>
  </si>
  <si>
    <t>You Keep Coming Back Like A Song</t>
  </si>
  <si>
    <t>Swanee</t>
  </si>
  <si>
    <t>Mel Rogers</t>
  </si>
  <si>
    <t>Paul Dorset</t>
  </si>
  <si>
    <t>David Proud</t>
  </si>
  <si>
    <t>Four to One</t>
  </si>
  <si>
    <t>Chelmsford</t>
  </si>
  <si>
    <t>4getmenots</t>
  </si>
  <si>
    <t>Colin Bennett</t>
  </si>
  <si>
    <t>James Emery</t>
  </si>
  <si>
    <t>Steve Derrick</t>
  </si>
  <si>
    <t>Oh You Beautiful Doll</t>
  </si>
  <si>
    <t>As Long As You're Not In Love With Anyone</t>
  </si>
  <si>
    <t>SMALL CHORUS AWARD - Lowest total is the winner</t>
  </si>
  <si>
    <t>Phil Wilson</t>
  </si>
  <si>
    <t>Bruce Beer</t>
  </si>
  <si>
    <t>John Dudley</t>
  </si>
  <si>
    <t>The Valleytones</t>
  </si>
  <si>
    <t>MK / Potton</t>
  </si>
  <si>
    <t>B'mouth &amp; E Dorset</t>
  </si>
  <si>
    <t>Camb'/Bolton/Mold</t>
  </si>
  <si>
    <t>Hallmark of Harmony 4 - Steve Hall</t>
  </si>
  <si>
    <t>Great Western 2 - Ken Taylor</t>
  </si>
  <si>
    <t>Cambridge 1 - Paul Davis</t>
  </si>
  <si>
    <t>Thames Valley Chorus 2 - Tony Searle</t>
  </si>
  <si>
    <t>Glin Gilmore</t>
  </si>
  <si>
    <t>Richard Drinkwater</t>
  </si>
  <si>
    <t>Andy Peck</t>
  </si>
  <si>
    <t>William Seaby</t>
  </si>
  <si>
    <t>Tim Hibbert</t>
  </si>
  <si>
    <t>The Quartations</t>
  </si>
  <si>
    <t>Chelmsofrd Star - Jim Mullen/Martin Baker</t>
  </si>
  <si>
    <t>Harmony Lincs - Glenn Chaney</t>
  </si>
  <si>
    <t>White Horse Harmony - David Proud</t>
  </si>
  <si>
    <t>Harmony Union, Milton Keynes - Lyn Kirkbright</t>
  </si>
  <si>
    <t>Pier Town Chorus, Wigan - Tony Mason</t>
  </si>
  <si>
    <t>Fine City Chorus, Norwich - John Mallett</t>
  </si>
  <si>
    <t>The Harmony Drifters, Hartlepool - John Oxley</t>
  </si>
  <si>
    <t>Riverside Chorus, Kegworth - Kevan Liebling</t>
  </si>
  <si>
    <t>Friends in Harmony, Angelsey - Bob O'Brian/Andy Milner</t>
  </si>
  <si>
    <t>Harmony Exe, Newton Abbott - Carole Hale</t>
  </si>
  <si>
    <t>Harmony Lincs, Lincoln - Glenn Chaney</t>
  </si>
  <si>
    <t>Twenty-sixth in the North Only</t>
  </si>
  <si>
    <t>Twenty-sixth in the South Only</t>
  </si>
  <si>
    <t>Twenty-fifth in the South Only</t>
  </si>
  <si>
    <t>Twenty-fourth in the South Only</t>
  </si>
  <si>
    <t>Twenty-third in the South Only</t>
  </si>
  <si>
    <t>City Gents</t>
  </si>
  <si>
    <t>Severnsiders</t>
  </si>
  <si>
    <t>Steel City Four</t>
  </si>
  <si>
    <t>Sundowners</t>
  </si>
  <si>
    <t>Notts &amp; Trent Valley</t>
  </si>
  <si>
    <t>DIY Music Centre</t>
  </si>
  <si>
    <t>Western Union</t>
  </si>
  <si>
    <t>London Pride</t>
  </si>
  <si>
    <t>Otherwise</t>
  </si>
  <si>
    <t>4th Of July</t>
  </si>
  <si>
    <t>Northern Lights</t>
  </si>
  <si>
    <t>Amalgamation</t>
  </si>
  <si>
    <t>Harmony Revival</t>
  </si>
  <si>
    <t>Sound Investment</t>
  </si>
  <si>
    <t>Diplomats</t>
  </si>
  <si>
    <t>Tonsurairs</t>
  </si>
  <si>
    <t>Merseyside</t>
  </si>
  <si>
    <t>Bari</t>
  </si>
  <si>
    <t>East Midlands/Coventry</t>
  </si>
  <si>
    <t>Ron Pike 5</t>
  </si>
  <si>
    <t>Paul Cousins 8</t>
  </si>
  <si>
    <t>Terry Bryant 8</t>
  </si>
  <si>
    <t>Franz Arkinson 8</t>
  </si>
  <si>
    <t>Celebration</t>
  </si>
  <si>
    <t>Four Blokes Singing</t>
  </si>
  <si>
    <t>Major Oak Chorus</t>
  </si>
  <si>
    <t>Chris Brady</t>
  </si>
  <si>
    <t>Glenn Chaney</t>
  </si>
  <si>
    <t>Steve Cox</t>
  </si>
  <si>
    <t>Adrian Armstrong</t>
  </si>
  <si>
    <t>Dennis Croucher</t>
  </si>
  <si>
    <t>Mike Miller</t>
  </si>
  <si>
    <t>Saffron Walden</t>
  </si>
  <si>
    <t>Terry Fitzpatrick</t>
  </si>
  <si>
    <t>Ged Hill</t>
  </si>
  <si>
    <t>Steve Cartwright</t>
  </si>
  <si>
    <t>Mike Wayne</t>
  </si>
  <si>
    <t>John Walters</t>
  </si>
  <si>
    <t>Andy Balchin</t>
  </si>
  <si>
    <t>Ron Braid</t>
  </si>
  <si>
    <t>Noel Winyates</t>
  </si>
  <si>
    <t>David Reid</t>
  </si>
  <si>
    <t>John Marshall</t>
  </si>
  <si>
    <t>Sid Bennett</t>
  </si>
  <si>
    <t>Andy Delicata</t>
  </si>
  <si>
    <t>Giles Ratcliffe</t>
  </si>
  <si>
    <t>Steve Green 3</t>
  </si>
  <si>
    <t>Stuart Sides 3</t>
  </si>
  <si>
    <t>Stuart Owen 2</t>
  </si>
  <si>
    <t>2004</t>
  </si>
  <si>
    <t>Steve Green</t>
  </si>
  <si>
    <t>Stuart Owen</t>
  </si>
  <si>
    <t>Peter Kennedy 2</t>
  </si>
  <si>
    <t>Gentleman Jack</t>
  </si>
  <si>
    <t>Camb'/</t>
  </si>
  <si>
    <t>Ian James 2</t>
  </si>
  <si>
    <t>Mick Thurman</t>
  </si>
  <si>
    <t>Peter Chapman</t>
  </si>
  <si>
    <t>The Works</t>
  </si>
  <si>
    <t>Cambridge/Reading</t>
  </si>
  <si>
    <t>Mike Warner</t>
  </si>
  <si>
    <t>Brian Schofield 4</t>
  </si>
  <si>
    <t>Martin Ford 4</t>
  </si>
  <si>
    <t>John Palmer 2</t>
  </si>
  <si>
    <t>Pitch Invasion</t>
  </si>
  <si>
    <t>W Mid/Telford/E Mid</t>
  </si>
  <si>
    <t>Rod Butcher 3</t>
  </si>
  <si>
    <t>Andy Funnell 2</t>
  </si>
  <si>
    <t>Timm Barkworth</t>
  </si>
  <si>
    <t>Peter Kennedy</t>
  </si>
  <si>
    <t>Paul Cousins 5</t>
  </si>
  <si>
    <t>Terry Bryant 5</t>
  </si>
  <si>
    <t>Franz Arkinson 5</t>
  </si>
  <si>
    <t>For Cryin' Out Loud=25th</t>
  </si>
  <si>
    <t>Buzz Cut</t>
  </si>
  <si>
    <t>The Whole Nine Yards</t>
  </si>
  <si>
    <t>Quaynote Vectis</t>
  </si>
  <si>
    <t>Four Sing The Issue</t>
  </si>
  <si>
    <t>Chords Of Steel</t>
  </si>
  <si>
    <t>Paul Ruggles</t>
  </si>
  <si>
    <t>Rick Barry</t>
  </si>
  <si>
    <t>Martin Raynor</t>
  </si>
  <si>
    <t>Cambs/ Harpenden</t>
  </si>
  <si>
    <t>A Hooke</t>
  </si>
  <si>
    <t>Duncan Blackeby 1</t>
  </si>
  <si>
    <t>Duncan Blackeby 2</t>
  </si>
  <si>
    <t>Pat McLoughlin</t>
  </si>
  <si>
    <t>Fosse Four</t>
  </si>
  <si>
    <t>Woodspringers</t>
  </si>
  <si>
    <t>Outsiders</t>
  </si>
  <si>
    <t>Camarella Felles</t>
  </si>
  <si>
    <t>Chilterniares</t>
  </si>
  <si>
    <t>Border Blend</t>
  </si>
  <si>
    <t>Bill Lorimer</t>
  </si>
  <si>
    <t>Steve Thorn</t>
  </si>
  <si>
    <t>Roger Wilkinson</t>
  </si>
  <si>
    <t>Brian Callaghan</t>
  </si>
  <si>
    <t>Chris Oliver</t>
  </si>
  <si>
    <t>Vale of York</t>
  </si>
  <si>
    <t>Mike Tarsker</t>
  </si>
  <si>
    <t>Terry Burns</t>
  </si>
  <si>
    <t>Cams/Harpenden</t>
  </si>
  <si>
    <t>Alan Hooke</t>
  </si>
  <si>
    <t>David Garrett</t>
  </si>
  <si>
    <t>Union Square</t>
  </si>
  <si>
    <t>Classmates</t>
  </si>
  <si>
    <t>Jigsaw</t>
  </si>
  <si>
    <t>David Morehen</t>
  </si>
  <si>
    <t>Steve Webber</t>
  </si>
  <si>
    <t>John Meehan</t>
  </si>
  <si>
    <t>Mike Vere</t>
  </si>
  <si>
    <t>Colin Williams</t>
  </si>
  <si>
    <t>Ed Carter</t>
  </si>
  <si>
    <t>George Badland</t>
  </si>
  <si>
    <t>Henry Foster</t>
  </si>
  <si>
    <t>B'Mouth / E Dorset</t>
  </si>
  <si>
    <t>Mark Greengrass</t>
  </si>
  <si>
    <t>Great Western 3 - Bernie Cureton</t>
  </si>
  <si>
    <t>Hallmark of Harmony 5 - John Grant</t>
  </si>
  <si>
    <t>Cambridge 2 - Paul Davis</t>
  </si>
  <si>
    <t>Thames Valley Chorus 3 - Tony Searle</t>
  </si>
  <si>
    <t>Shannon Express 2 - Graham Davis</t>
  </si>
  <si>
    <t>Mold &amp; Vale of York</t>
  </si>
  <si>
    <t>Excel</t>
  </si>
  <si>
    <t>George Parrish</t>
  </si>
  <si>
    <t>Colin Barnaby</t>
  </si>
  <si>
    <t>Newtown Ringers</t>
  </si>
  <si>
    <t>Harmony Raisers</t>
  </si>
  <si>
    <t>Bristol</t>
  </si>
  <si>
    <t>Don Buffel</t>
  </si>
  <si>
    <t>Ted Grant</t>
  </si>
  <si>
    <t>Ivan Newman 1</t>
  </si>
  <si>
    <t>Ivan Newman 2</t>
  </si>
  <si>
    <t>John Roundtree</t>
  </si>
  <si>
    <t>Dave Manon</t>
  </si>
  <si>
    <t>Dave Aylind</t>
  </si>
  <si>
    <t>John Mann</t>
  </si>
  <si>
    <t>Wantage &amp; Newbury</t>
  </si>
  <si>
    <t>Ian Herald</t>
  </si>
  <si>
    <t>David Poulter</t>
  </si>
  <si>
    <t>Toney Riley</t>
  </si>
  <si>
    <t>Lads 'n' Dads</t>
  </si>
  <si>
    <t>One Shot</t>
  </si>
  <si>
    <t>Forge</t>
  </si>
  <si>
    <t>Star Shine = 21st</t>
  </si>
  <si>
    <t>Thames Valley Chorus - Peter Kennedy</t>
  </si>
  <si>
    <t>Hallmark of Harmony - Barry Clinton</t>
  </si>
  <si>
    <t>Chelmsford Star - Martin Baker</t>
  </si>
  <si>
    <t>Hallmark of Harmony 3 - John Grant</t>
  </si>
  <si>
    <t>Anvil 1 - Rod Butcher</t>
  </si>
  <si>
    <t>Rainy City 1 - John Batty</t>
  </si>
  <si>
    <t>Great Western 6 - Ken Taylor</t>
  </si>
  <si>
    <t>Rainy City 2 - John Batty</t>
  </si>
  <si>
    <t>Shannon Express 1 - Jim Catt</t>
  </si>
  <si>
    <t>Shannon Express - Jim Catt</t>
  </si>
  <si>
    <t>Grand Central 1 - John Grant</t>
  </si>
  <si>
    <t>Columbus</t>
  </si>
  <si>
    <t>Give Me A Barbershop Song</t>
  </si>
  <si>
    <t>Zing! Went The Strings Of My Heart</t>
  </si>
  <si>
    <r>
      <t xml:space="preserve">Score sheets now online -- </t>
    </r>
    <r>
      <rPr>
        <sz val="8"/>
        <color indexed="18"/>
        <rFont val="Tahoma"/>
        <family val="2"/>
      </rPr>
      <t>www.barbershop.org/ID_106682</t>
    </r>
    <r>
      <rPr>
        <sz val="12"/>
        <rFont val="Times New Roman"/>
        <family val="1"/>
      </rPr>
      <t xml:space="preserve"> </t>
    </r>
  </si>
  <si>
    <t>Chime Gentlemen</t>
  </si>
  <si>
    <t>W Mids</t>
  </si>
  <si>
    <t>Rod Butcher 1</t>
  </si>
  <si>
    <t>Dennis Hodgetts 1</t>
  </si>
  <si>
    <t>Michael Sides 1</t>
  </si>
  <si>
    <t>Four Leaf Clover</t>
  </si>
  <si>
    <t>Gr' Manchester</t>
  </si>
  <si>
    <t>Roger Taylor</t>
  </si>
  <si>
    <t>Tim Taylor</t>
  </si>
  <si>
    <t>Keith Northrop</t>
  </si>
  <si>
    <t>Wally Saunders</t>
  </si>
  <si>
    <t>Brian Harding</t>
  </si>
  <si>
    <t>Bill Mainwaring</t>
  </si>
  <si>
    <t>Bernard Wickson</t>
  </si>
  <si>
    <t>Eric Lawrence</t>
  </si>
  <si>
    <t>Haydn Adams</t>
  </si>
  <si>
    <t>Cotton Town 2 - Mick Dargan</t>
  </si>
  <si>
    <t>Great Western 4 - Linda Corcoran</t>
  </si>
  <si>
    <t>Grand Central 4 - Rob Barber</t>
  </si>
  <si>
    <t>Thames Valley Chorus 4 - Rhiannon Owens Hall</t>
  </si>
  <si>
    <t>Cotton Town 3 - Mick Dargan</t>
  </si>
  <si>
    <t>Thames Valley Chorus 6 - Rhiannon Owens Hall</t>
  </si>
  <si>
    <t>Grand Central 1 - Rob Barber</t>
  </si>
  <si>
    <t>Thames Valley Chorus 7 - Rhiannon Owens Hall</t>
  </si>
  <si>
    <t>Ron Hope</t>
  </si>
  <si>
    <t>Fortunairs</t>
  </si>
  <si>
    <t>Brian Shorrocks 1</t>
  </si>
  <si>
    <t>George Parrish 1</t>
  </si>
  <si>
    <t>Colin Barnaby 1</t>
  </si>
  <si>
    <t>The Barrytones</t>
  </si>
  <si>
    <t>Reading</t>
  </si>
  <si>
    <t>Barry Nowell 1</t>
  </si>
  <si>
    <t>Nick Carter</t>
  </si>
  <si>
    <t>Bob Watkin</t>
  </si>
  <si>
    <t>Colin Carter 1</t>
  </si>
  <si>
    <t>1976</t>
  </si>
  <si>
    <t>Barry Nowell</t>
  </si>
  <si>
    <t>Colin Carter</t>
  </si>
  <si>
    <t>Brian Shorrocks 2</t>
  </si>
  <si>
    <t>Bob Walker 2</t>
  </si>
  <si>
    <t>George Parrish 2</t>
  </si>
  <si>
    <t>Colin Barnaby 2</t>
  </si>
  <si>
    <t>New Town Ringers</t>
  </si>
  <si>
    <t>Bill Hilton</t>
  </si>
  <si>
    <t>Don Amos</t>
  </si>
  <si>
    <t>Bob Witherington</t>
  </si>
  <si>
    <t>Mike Watts</t>
  </si>
  <si>
    <t>1977</t>
  </si>
  <si>
    <t>Brian Shorrocks</t>
  </si>
  <si>
    <t>The UniSons</t>
  </si>
  <si>
    <t>Franz Atkinson 1</t>
  </si>
  <si>
    <t>Franz Atkinson 2</t>
  </si>
  <si>
    <t>Franz Atkinson 3</t>
  </si>
  <si>
    <t>Franz Atkinson 5</t>
  </si>
  <si>
    <t>Franz Atkinson 6</t>
  </si>
  <si>
    <t>Franz Atkinson 7</t>
  </si>
  <si>
    <t>Franz Atkinson 4</t>
  </si>
  <si>
    <t>How Could Little Red Riding Hood</t>
  </si>
  <si>
    <t>Chordbuster's March</t>
  </si>
  <si>
    <t>Back In Dixieland</t>
  </si>
  <si>
    <t>Who's Sorry Now</t>
  </si>
  <si>
    <t>The Sweetest Song In The World</t>
  </si>
  <si>
    <t>On Moonlight Bay</t>
  </si>
  <si>
    <t>Everybody Wants To Go To Heaven</t>
  </si>
  <si>
    <t>Format</t>
  </si>
  <si>
    <t>Forever A Capella</t>
  </si>
  <si>
    <t>Soundbyte</t>
  </si>
  <si>
    <t>Almost Gentleman</t>
  </si>
  <si>
    <t>Ultra Sound</t>
  </si>
  <si>
    <t>Bianco</t>
  </si>
  <si>
    <t>Branded</t>
  </si>
  <si>
    <t>Four Of Hearts</t>
  </si>
  <si>
    <t>A Cappella Fellas</t>
  </si>
  <si>
    <t>Forever A Cappella</t>
  </si>
  <si>
    <t>Boston 4 A Pitch</t>
  </si>
  <si>
    <t>Arrival</t>
  </si>
  <si>
    <t>True Colours</t>
  </si>
  <si>
    <t>Vocale</t>
  </si>
  <si>
    <t>Fusion</t>
  </si>
  <si>
    <t>Transatlantic Connection</t>
  </si>
  <si>
    <t>Vocal Icing</t>
  </si>
  <si>
    <t>A Cappella Fella</t>
  </si>
  <si>
    <t>Grand Edition</t>
  </si>
  <si>
    <t>SHQ</t>
  </si>
  <si>
    <t>The Stunt Monkeys</t>
  </si>
  <si>
    <t>Reading &amp; W London</t>
  </si>
  <si>
    <t>Windsor/Crawley/Cambs</t>
  </si>
  <si>
    <t>Cambs / Don Amos</t>
  </si>
  <si>
    <t>Mat Bateman</t>
  </si>
  <si>
    <t>Leeds &amp; Brad'/Calder vall'</t>
  </si>
  <si>
    <t>Steve Smith</t>
  </si>
  <si>
    <t>B'Mth &amp; E Dor'/Windsor</t>
  </si>
  <si>
    <t>Steven Dumble</t>
  </si>
  <si>
    <t>David George</t>
  </si>
  <si>
    <t>The Fosse Four</t>
  </si>
  <si>
    <t>Ian Phillips</t>
  </si>
  <si>
    <t>Bolton / Mold</t>
  </si>
  <si>
    <t>Reading / Staines</t>
  </si>
  <si>
    <t>Quadrahedron = 6th</t>
  </si>
  <si>
    <t>David Parkinson</t>
  </si>
  <si>
    <t>East Mids</t>
  </si>
  <si>
    <t>Rob Parnham</t>
  </si>
  <si>
    <t>Daves Hughes</t>
  </si>
  <si>
    <t>Varied</t>
  </si>
  <si>
    <t>Put Your Head On My Shoulder</t>
  </si>
  <si>
    <t>Ian Wiseman 2</t>
  </si>
  <si>
    <t>Golden Opportunity</t>
  </si>
  <si>
    <t>Mark Miller</t>
  </si>
  <si>
    <t>Ted Miller</t>
  </si>
  <si>
    <t>Maurice Lewis</t>
  </si>
  <si>
    <t>Julian Church</t>
  </si>
  <si>
    <t>1984 p</t>
  </si>
  <si>
    <t>Rainbow's End</t>
  </si>
  <si>
    <t>Colin Barley</t>
  </si>
  <si>
    <t>Kings of Hearts - Graham Lawrence</t>
  </si>
  <si>
    <t>Knights of Harmony - Tony Searle/ Andrew Edgerley</t>
  </si>
  <si>
    <t>Sound of Three Spires - Cheri Hartsornd</t>
  </si>
  <si>
    <t>Southern Union - Terry Byant</t>
  </si>
  <si>
    <t>Red Rose Chorus - Jack Haslum</t>
  </si>
  <si>
    <t>Solent City Chorus - Bill Paine</t>
  </si>
  <si>
    <t>Sound of Three Spires - Foo Lokerin</t>
  </si>
  <si>
    <t>Knights of Harmony - Andrew Edgerley/Tony Searle</t>
  </si>
  <si>
    <t>Kings of Hearts - Pete Powell</t>
  </si>
  <si>
    <t>Southern Union - David Wood/Pete Hills</t>
  </si>
  <si>
    <t>Heart of England - Frank Salter</t>
  </si>
  <si>
    <t>Granite City - Heather Bartlett</t>
  </si>
  <si>
    <t>Big County - Neil Raynor</t>
  </si>
  <si>
    <t>Harmony Lincs - Richard Curtis</t>
  </si>
  <si>
    <t>Sussex Harmonisers - Peter Kennedy</t>
  </si>
  <si>
    <t>Major Oak Chorus - Joe Knight</t>
  </si>
  <si>
    <t>Clwyd Clippers - Rhiannon Owens Hall</t>
  </si>
  <si>
    <t xml:space="preserve">Sound of Three Spires - John Riseborough </t>
  </si>
  <si>
    <t>5 Ways - Sharna Wells</t>
  </si>
  <si>
    <t>Granite City Chorus - Colin Reid</t>
  </si>
  <si>
    <t>Oxford Harmony - Kate Doherty</t>
  </si>
  <si>
    <t>Kings of Hearts - Derek Harrison</t>
  </si>
  <si>
    <t>Phillip Kan-Panni</t>
  </si>
  <si>
    <t xml:space="preserve"> Julian Gulliford</t>
  </si>
  <si>
    <t>John Grant</t>
  </si>
  <si>
    <t>Rich Webb</t>
  </si>
  <si>
    <t>Paul Savage</t>
  </si>
  <si>
    <t>Kevin Coughlan</t>
  </si>
  <si>
    <t>Les Ainsworth</t>
  </si>
  <si>
    <t>John Emery</t>
  </si>
  <si>
    <t>Graham Wilcocks</t>
  </si>
  <si>
    <t>Bristol/Bolton,Sheffield &amp; Mold</t>
  </si>
  <si>
    <t>NBYC,W Mid,Bristol &amp; Calder Valley</t>
  </si>
  <si>
    <t>Carl Bryant</t>
  </si>
  <si>
    <t>Duncan Blakeby</t>
  </si>
  <si>
    <t>Craig Kehoe</t>
  </si>
  <si>
    <t>Young at Heart</t>
  </si>
  <si>
    <t>Guildford</t>
  </si>
  <si>
    <t>Frank Butterfield</t>
  </si>
  <si>
    <t>Brian Jones</t>
  </si>
  <si>
    <t>Brighton</t>
  </si>
  <si>
    <t>Derek Miller</t>
  </si>
  <si>
    <t>John Jagger</t>
  </si>
  <si>
    <t>Chris Meek</t>
  </si>
  <si>
    <t>1976 p</t>
  </si>
  <si>
    <t>Close Relations</t>
  </si>
  <si>
    <t>Tom Atkinson</t>
  </si>
  <si>
    <t>Tom Laws</t>
  </si>
  <si>
    <t>Bob Scott</t>
  </si>
  <si>
    <t>Ernie Jordison</t>
  </si>
  <si>
    <t>Four No Trumps</t>
  </si>
  <si>
    <t>Ken Hopper</t>
  </si>
  <si>
    <t>Ron Beal</t>
  </si>
  <si>
    <t>Forrestaires</t>
  </si>
  <si>
    <t>Dave Elson</t>
  </si>
  <si>
    <t>Peter Bugden</t>
  </si>
  <si>
    <t>Jim Cutts</t>
  </si>
  <si>
    <t>Brian Edge</t>
  </si>
  <si>
    <t>Les Gee</t>
  </si>
  <si>
    <t>Brian Foulston</t>
  </si>
  <si>
    <t>Southern Prelims cancelled</t>
  </si>
  <si>
    <t>Four In A Bar</t>
  </si>
  <si>
    <t>John Booth</t>
  </si>
  <si>
    <t>George Alcock</t>
  </si>
  <si>
    <t>Stan Hogg</t>
  </si>
  <si>
    <t>George Tye</t>
  </si>
  <si>
    <t>Sherwoodaires</t>
  </si>
  <si>
    <t>Nottingham</t>
  </si>
  <si>
    <t>Les Wakefield</t>
  </si>
  <si>
    <t>Northern Prelims cancelled</t>
  </si>
  <si>
    <t>Dave Williams</t>
  </si>
  <si>
    <t>Jed Stone</t>
  </si>
  <si>
    <t>Alan Wright</t>
  </si>
  <si>
    <t>Tim Lyn</t>
  </si>
  <si>
    <t>Bernard Davis</t>
  </si>
  <si>
    <t>Four in a Bar</t>
  </si>
  <si>
    <t>Brian Barber</t>
  </si>
  <si>
    <t>Martin Robinson</t>
  </si>
  <si>
    <t>Adrian Jeffrey</t>
  </si>
  <si>
    <t>Mike Peters</t>
  </si>
  <si>
    <t>Keith Knowles</t>
  </si>
  <si>
    <t>Keith Mintern</t>
  </si>
  <si>
    <t>Gavin Hunter</t>
  </si>
  <si>
    <t>John Carter</t>
  </si>
  <si>
    <t>Brian Wainwright</t>
  </si>
  <si>
    <t>Brian Willcocks</t>
  </si>
  <si>
    <t>Jerry Filor</t>
  </si>
  <si>
    <t>Mike McNally</t>
  </si>
  <si>
    <t>Tony Berkeley</t>
  </si>
  <si>
    <t>Tim Cockell</t>
  </si>
  <si>
    <t>Derek Smith</t>
  </si>
  <si>
    <t>Brian Parker</t>
  </si>
  <si>
    <t>John Morrisey</t>
  </si>
  <si>
    <t>Kevin Coughlin</t>
  </si>
  <si>
    <t>B'Mth &amp; E Dorset</t>
  </si>
  <si>
    <t>Franz Atkinson</t>
  </si>
  <si>
    <t>Norman Arrowsmith</t>
  </si>
  <si>
    <t>Howard Ashman</t>
  </si>
  <si>
    <t>Gr' Manch'</t>
  </si>
  <si>
    <t>Nick Boulter</t>
  </si>
  <si>
    <t>Reg Stamp</t>
  </si>
  <si>
    <t>Les Palfrey</t>
  </si>
  <si>
    <t>Cliff Watson</t>
  </si>
  <si>
    <t>John Byant</t>
  </si>
  <si>
    <t>Dave Arren</t>
  </si>
  <si>
    <t>Jeff Ford</t>
  </si>
  <si>
    <t>Pat Corr</t>
  </si>
  <si>
    <t>Accord</t>
  </si>
  <si>
    <t>The Music Men</t>
  </si>
  <si>
    <t>Applauze</t>
  </si>
  <si>
    <t>Stage Door</t>
  </si>
  <si>
    <t>Midnight Rogues</t>
  </si>
  <si>
    <t>When The Red Red Robin Came Bob Bob Bobbin' Along</t>
  </si>
  <si>
    <t>Red Red Robin</t>
  </si>
  <si>
    <t>Each Time I Fall In Love</t>
  </si>
  <si>
    <t>Cadence = 6th</t>
  </si>
  <si>
    <t>Carshalton Concords</t>
  </si>
  <si>
    <t>The Peers of Harmony</t>
  </si>
  <si>
    <t>Wye Valley Chorus</t>
  </si>
  <si>
    <t>The Harmony Drifters</t>
  </si>
  <si>
    <t>The Pier Town Chorus</t>
  </si>
  <si>
    <t>The Kingsmen</t>
  </si>
  <si>
    <t>Cotton Town 1</t>
  </si>
  <si>
    <t>Sound of Three Spires 1</t>
  </si>
  <si>
    <t>Sound of Three Spires 2</t>
  </si>
  <si>
    <t>New Calculation</t>
  </si>
  <si>
    <t>Chorus Name</t>
  </si>
  <si>
    <t>Tim Hilbert</t>
  </si>
  <si>
    <t>Tony Foster</t>
  </si>
  <si>
    <t>Amerie Four</t>
  </si>
  <si>
    <t>Dave Wilson</t>
  </si>
  <si>
    <t>Eric Beer</t>
  </si>
  <si>
    <t>Potton &amp; Wantage</t>
  </si>
  <si>
    <t>Bernie Cureton</t>
  </si>
  <si>
    <t>David Dana</t>
  </si>
  <si>
    <t>Grand Slam</t>
  </si>
  <si>
    <t>Reading/W London/Portsmouth/ Garden Isle</t>
  </si>
  <si>
    <t>Graham Sutton</t>
  </si>
  <si>
    <t>Nick Frampton</t>
  </si>
  <si>
    <t>Ron Pike</t>
  </si>
  <si>
    <t>Just 4 U</t>
  </si>
  <si>
    <t>Tony Kay</t>
  </si>
  <si>
    <t>Music Hall</t>
  </si>
  <si>
    <t>Four Grand</t>
  </si>
  <si>
    <t>Nigel Williams</t>
  </si>
  <si>
    <t>John Riseborough</t>
  </si>
  <si>
    <t xml:space="preserve"> Tony Kay</t>
  </si>
  <si>
    <t>Leeds/Bradford/Potton/W Mid</t>
  </si>
  <si>
    <t>Duncan Whinyates</t>
  </si>
  <si>
    <t>Andrew Salter</t>
  </si>
  <si>
    <t>Richard Ellis</t>
  </si>
  <si>
    <t>Terry Broom</t>
  </si>
  <si>
    <t>Wheel of Harmony</t>
  </si>
  <si>
    <t>Simon Howell</t>
  </si>
  <si>
    <t>Bournemouth</t>
  </si>
  <si>
    <t>Legacy</t>
  </si>
  <si>
    <t>Mark Tedds</t>
  </si>
  <si>
    <t>Andy Funnel</t>
  </si>
  <si>
    <t>Figaro</t>
  </si>
  <si>
    <t>Aidan Brand</t>
  </si>
  <si>
    <t>Peter Dawson</t>
  </si>
  <si>
    <t>Richard Leathem</t>
  </si>
  <si>
    <t>Andy Rzysko</t>
  </si>
  <si>
    <t>Stunt Monkeys</t>
  </si>
  <si>
    <t>Time Out</t>
  </si>
  <si>
    <t>Side By Side</t>
  </si>
  <si>
    <t>John Winterbottom</t>
  </si>
  <si>
    <t>Andrew Martin</t>
  </si>
  <si>
    <t>Ken Hayday</t>
  </si>
  <si>
    <t>Barry King</t>
  </si>
  <si>
    <t>Tom Jarvis</t>
  </si>
  <si>
    <t>Tommy Dean</t>
  </si>
  <si>
    <t>Will Pickering</t>
  </si>
  <si>
    <t>Matt Church</t>
  </si>
  <si>
    <t>Dave Gilbert</t>
  </si>
  <si>
    <t>Lawrence Hasson</t>
  </si>
  <si>
    <t>Alexander De Bruin</t>
  </si>
  <si>
    <t>Anthony Cour</t>
  </si>
  <si>
    <t>Terry Smith</t>
  </si>
  <si>
    <t>John Hadfield</t>
  </si>
  <si>
    <t>Peter Charge</t>
  </si>
  <si>
    <t>Steve Wolstenholme</t>
  </si>
  <si>
    <t>Sounds Familiar</t>
  </si>
  <si>
    <t>Legionnaires</t>
  </si>
  <si>
    <t>Colchester</t>
  </si>
  <si>
    <t>Midwest Rebellion</t>
  </si>
  <si>
    <t>Bridgwater</t>
  </si>
  <si>
    <t>Mike Messer</t>
  </si>
  <si>
    <t>Terry Shopland</t>
  </si>
  <si>
    <t>Tony Goulding</t>
  </si>
  <si>
    <t>kevin Coughlan</t>
  </si>
  <si>
    <t>Eastern Union</t>
  </si>
  <si>
    <t>Saffron Waldon</t>
  </si>
  <si>
    <t>Four in a Chord</t>
  </si>
  <si>
    <t>Ray Mould</t>
  </si>
  <si>
    <t>Taunton &amp; Gwent</t>
  </si>
  <si>
    <t>Tony Golding</t>
  </si>
  <si>
    <t>Harmony Heights</t>
  </si>
  <si>
    <t>Solent City</t>
  </si>
  <si>
    <t>Reg Stemp</t>
  </si>
  <si>
    <t>David Bache</t>
  </si>
  <si>
    <t>Ian Larden</t>
  </si>
  <si>
    <t>Tony Chapman</t>
  </si>
  <si>
    <t>Sounds Easy</t>
  </si>
  <si>
    <t>Part Exchange</t>
  </si>
  <si>
    <t>Bryan Drake</t>
  </si>
  <si>
    <t>Barry Hine</t>
  </si>
  <si>
    <t>Dave Thompson</t>
  </si>
  <si>
    <t>The Moondiogs</t>
  </si>
  <si>
    <t>Hallmark of Harmony 7 - Andy Allen</t>
  </si>
  <si>
    <t>Cambridge - Bob Croft</t>
  </si>
  <si>
    <t>The VIPs - Gaynor Schofield</t>
  </si>
  <si>
    <t>The Telfordaires - Andy Funnell, Alan Hughes</t>
  </si>
  <si>
    <t>The Kentones - Colin Couves</t>
  </si>
  <si>
    <t>Capital Chorus - Julian Nicholl, Aidan Brand</t>
  </si>
  <si>
    <t>Sound Harmony - Pat Deeble</t>
  </si>
  <si>
    <t>Southern Union - Mike Lofthouse</t>
  </si>
  <si>
    <t>Sound of Three Spires - Andrew Kneeshore</t>
  </si>
  <si>
    <t>Red Rose Chorus - Emma McManus</t>
  </si>
  <si>
    <t>Vale Harmony - Chris Hartwright</t>
  </si>
  <si>
    <t>Essex Chordsman - Geoff White</t>
  </si>
  <si>
    <t>The Rivertones - Peter Gower</t>
  </si>
  <si>
    <t>MK Acapella - Lyn Kirkbright</t>
  </si>
  <si>
    <t>Close Shave Chorus - Eoin Millar</t>
  </si>
  <si>
    <t>Ocean Harmony - Graham Frampton</t>
  </si>
  <si>
    <t>The Wite Rose Chorus - Hazel Jiggins</t>
  </si>
  <si>
    <t>Ouse Valley Chorus - Paul Clay</t>
  </si>
  <si>
    <t>40th</t>
  </si>
  <si>
    <t>41st</t>
  </si>
  <si>
    <t>42nd</t>
  </si>
  <si>
    <t>43rd</t>
  </si>
  <si>
    <t>44th</t>
  </si>
  <si>
    <t>46th</t>
  </si>
  <si>
    <t>Hereward Harmony - Mike Sampson</t>
  </si>
  <si>
    <t>45th</t>
  </si>
  <si>
    <t>Derby A Capella - Andy Petch</t>
  </si>
  <si>
    <t>Windsor/W London</t>
  </si>
  <si>
    <t>Josh Smith</t>
  </si>
  <si>
    <t>Robert Reed</t>
  </si>
  <si>
    <t>Nick Horae</t>
  </si>
  <si>
    <t>Jonathan Pipe</t>
  </si>
  <si>
    <t>Sussex Harmonisers/Horsham</t>
  </si>
  <si>
    <t>Portsmouth/Reading Don Amos</t>
  </si>
  <si>
    <t>Mold / Don Amos</t>
  </si>
  <si>
    <t>2014 P</t>
  </si>
  <si>
    <t>South Parade</t>
  </si>
  <si>
    <t>The Amazing Greys</t>
  </si>
  <si>
    <t>Colin maskrey</t>
  </si>
  <si>
    <t>YOUTHLESS</t>
  </si>
  <si>
    <t>Martin Proctor</t>
  </si>
  <si>
    <t>Cambs/The VIPs</t>
  </si>
  <si>
    <t>Tony Drewitt</t>
  </si>
  <si>
    <t>Proper Sound</t>
  </si>
  <si>
    <t>Ru Pattie &amp; the Jazz Quintent</t>
  </si>
  <si>
    <t>Sam Hubbard</t>
  </si>
  <si>
    <t>Ru Pattie</t>
  </si>
  <si>
    <t>The Accidentals</t>
  </si>
  <si>
    <t>Qnatural</t>
  </si>
  <si>
    <t>Alex Sanctuary</t>
  </si>
  <si>
    <t>Declan Lees-Smith</t>
  </si>
  <si>
    <t>Alexander de Bruin</t>
  </si>
  <si>
    <t>James Whittick</t>
  </si>
  <si>
    <t>The PostMen</t>
  </si>
  <si>
    <t>Sheffield/Major Oak</t>
  </si>
  <si>
    <t>Jonny Beeden</t>
  </si>
  <si>
    <t>Four's A Crowd</t>
  </si>
  <si>
    <t>Sheffield / Don Amos</t>
  </si>
  <si>
    <t>Tom Rushton</t>
  </si>
  <si>
    <t>Harry Little</t>
  </si>
  <si>
    <t>Sam Williams</t>
  </si>
  <si>
    <t>QM  =  11th</t>
  </si>
  <si>
    <t>Li-Wen Yip</t>
  </si>
  <si>
    <t>Khusro Ali Khan</t>
  </si>
  <si>
    <t>The Accidentals = 32nd</t>
  </si>
  <si>
    <t>Apocapella</t>
  </si>
  <si>
    <t>John Beesley</t>
  </si>
  <si>
    <t>Dave Howe</t>
  </si>
  <si>
    <t>Luke Freeney</t>
  </si>
  <si>
    <t>Danny Gortler</t>
  </si>
  <si>
    <t>Joseph O'Leary</t>
  </si>
  <si>
    <t>Phil Glenny</t>
  </si>
  <si>
    <t>Finet Hour</t>
  </si>
  <si>
    <t>Grand Central/Preston</t>
  </si>
  <si>
    <t>The Locksmiths</t>
  </si>
  <si>
    <t>Sheffiled/Tuxedo/GC</t>
  </si>
  <si>
    <t>Andrew Walker</t>
  </si>
  <si>
    <t>Quantum</t>
  </si>
  <si>
    <t>Bolton/Don Amod/Mold</t>
  </si>
  <si>
    <t>Blueprint</t>
  </si>
  <si>
    <t>Bolton/Yorl/Sheffield</t>
  </si>
  <si>
    <t>Don Amos/Cambs</t>
  </si>
  <si>
    <t>Hustle</t>
  </si>
  <si>
    <t>Giovanni Arsciwals</t>
  </si>
  <si>
    <t>Identity</t>
  </si>
  <si>
    <t>MUBS/Sheffield/Bolton</t>
  </si>
  <si>
    <t>George Turner</t>
  </si>
  <si>
    <t>Ash Baker</t>
  </si>
  <si>
    <t>New Tricks</t>
  </si>
  <si>
    <t>Nth Surrey/E Mids/Don Amos</t>
  </si>
  <si>
    <t>Blue Ray</t>
  </si>
  <si>
    <t>Stephen Green</t>
  </si>
  <si>
    <t>Frank'nSense'nMirth</t>
  </si>
  <si>
    <t>E Midls</t>
  </si>
  <si>
    <t>The Geysers</t>
  </si>
  <si>
    <t>The VIPs / Don Amos</t>
  </si>
  <si>
    <t>GSOH</t>
  </si>
  <si>
    <t>E Mids/Coventry</t>
  </si>
  <si>
    <t>The Troubadours</t>
  </si>
  <si>
    <t>Tux</t>
  </si>
  <si>
    <t>Andy McPhee</t>
  </si>
  <si>
    <t>Dan Course</t>
  </si>
  <si>
    <t>Question Mark</t>
  </si>
  <si>
    <t>The Quadranauts = 22nd</t>
  </si>
  <si>
    <t>Formaggio</t>
  </si>
  <si>
    <t>Sussex H / Horsham</t>
  </si>
  <si>
    <t>Shoreline</t>
  </si>
  <si>
    <t>Izaac Stanley</t>
  </si>
  <si>
    <t>Steve Mowatt</t>
  </si>
  <si>
    <t>Stephen Derrick</t>
  </si>
  <si>
    <t>Four on the Floor</t>
  </si>
  <si>
    <t>Ports/Don Amos</t>
  </si>
  <si>
    <t>Antonio Galli</t>
  </si>
  <si>
    <t>Mold/Don Amos</t>
  </si>
  <si>
    <t>Frank Yans</t>
  </si>
  <si>
    <t>Tonic</t>
  </si>
  <si>
    <t>Mark Giand</t>
  </si>
  <si>
    <t>Ian Maslen</t>
  </si>
  <si>
    <t>Paul Hargest</t>
  </si>
  <si>
    <t>Don Amos/Reading</t>
  </si>
  <si>
    <t>Philip Paine</t>
  </si>
  <si>
    <t>Paul Dapra</t>
  </si>
  <si>
    <t>Fourmation</t>
  </si>
  <si>
    <t>Hereward</t>
  </si>
  <si>
    <t>David McLaughlan</t>
  </si>
  <si>
    <t>Rob Yarnell</t>
  </si>
  <si>
    <t>Nike Sampson</t>
  </si>
  <si>
    <t>Vocal IV</t>
  </si>
  <si>
    <t>EKCetera</t>
  </si>
  <si>
    <t>Matthew Meredith</t>
  </si>
  <si>
    <t>Mike Tredway</t>
  </si>
  <si>
    <t>David Holloway</t>
  </si>
  <si>
    <t>Lindley Gram</t>
  </si>
  <si>
    <t>Sheff'/Don Amos</t>
  </si>
  <si>
    <t>Sheff'/Major Oak</t>
  </si>
  <si>
    <t>Tux/Anglesey//Notts</t>
  </si>
  <si>
    <t>Sheffield/York/Don Amos</t>
  </si>
  <si>
    <t>W London/Windsor/Don Amos</t>
  </si>
  <si>
    <t>Calder Valler</t>
  </si>
  <si>
    <t>CCC/VIPs/Tux/Windsor</t>
  </si>
  <si>
    <t>It's Only A Paper Moon</t>
  </si>
  <si>
    <t>Las Vegas</t>
  </si>
  <si>
    <t>Reckless</t>
  </si>
  <si>
    <t>The Very Thought Of You</t>
  </si>
  <si>
    <t>The Tender Trap (Love Is)</t>
  </si>
  <si>
    <t>Those quartets in bold did exceptionally well in positions</t>
  </si>
  <si>
    <t>Those choruses in bold did exceptionally well in positions</t>
  </si>
  <si>
    <t>Cottontown</t>
  </si>
  <si>
    <t>James Bond Medley</t>
  </si>
  <si>
    <t>From Russia With Love</t>
  </si>
  <si>
    <t>The VIPS</t>
  </si>
  <si>
    <t>Sound Company</t>
  </si>
  <si>
    <t>Close Shave Chorus</t>
  </si>
  <si>
    <t>The White Rose Chorus</t>
  </si>
  <si>
    <t>Ouse Valley Chorus</t>
  </si>
  <si>
    <t>Derby A Cappella</t>
  </si>
  <si>
    <t>MK A cappella</t>
  </si>
  <si>
    <t>The Sound of Three Spires</t>
  </si>
  <si>
    <t>The VIPs</t>
  </si>
  <si>
    <t>Vale Harmony 1</t>
  </si>
  <si>
    <t>In 2014 :- 36 years + 3 joint winners</t>
  </si>
  <si>
    <t>36 - 2 + 3 joint</t>
  </si>
  <si>
    <t>36-4+4</t>
  </si>
  <si>
    <t>Youth</t>
  </si>
  <si>
    <t>Thames Valley Chorus 4 - Tony Searle, Steve Hall</t>
  </si>
  <si>
    <t>Cambridge 4 - Bob Croft, Simon Hilton</t>
  </si>
  <si>
    <t>Cambridge 4 - Paul Davis, Bob Croft</t>
  </si>
  <si>
    <t>The Light Industrial Chord Company</t>
  </si>
  <si>
    <t>Something For The Weekend</t>
  </si>
  <si>
    <t>Bostin' 4 a Pitch</t>
  </si>
  <si>
    <t>Four of Herts</t>
  </si>
  <si>
    <t>Tony Wardle</t>
  </si>
  <si>
    <t>Ian Taylor</t>
  </si>
  <si>
    <t>James Williams 1</t>
  </si>
  <si>
    <t>James Williams 2</t>
  </si>
  <si>
    <t>James Williams 3</t>
  </si>
  <si>
    <t>Eddie Williams 1</t>
  </si>
  <si>
    <t>Eddie Williams 2</t>
  </si>
  <si>
    <t>Eddie Williams 3</t>
  </si>
  <si>
    <t>Nigel Wiliiams 1</t>
  </si>
  <si>
    <t>Nigel Wiliiams 2</t>
  </si>
  <si>
    <t xml:space="preserve">Phil Cuthbert </t>
  </si>
  <si>
    <t>Nick Williams 1</t>
  </si>
  <si>
    <t>Nick Williams 2</t>
  </si>
  <si>
    <t>Nick Williams 3</t>
  </si>
  <si>
    <t>Ian James 3</t>
  </si>
  <si>
    <t>Ian James 4</t>
  </si>
  <si>
    <t>Steve Emery 1</t>
  </si>
  <si>
    <t>Steve Emery 2</t>
  </si>
  <si>
    <t>South Parade = 8th</t>
  </si>
  <si>
    <t>Bill Penny</t>
  </si>
  <si>
    <t>Ben Northan</t>
  </si>
  <si>
    <t>Joe Savage</t>
  </si>
  <si>
    <t>Joe Lynock</t>
  </si>
  <si>
    <t>The Cutting Edge</t>
  </si>
  <si>
    <t>Martin Bagtow</t>
  </si>
  <si>
    <t>The London Medley</t>
  </si>
  <si>
    <t>The Wedding Bell Rag</t>
  </si>
  <si>
    <t>Jacksonville</t>
  </si>
  <si>
    <t>Paul Davis</t>
  </si>
  <si>
    <t>Joe Lunock</t>
  </si>
  <si>
    <t>Alan</t>
  </si>
  <si>
    <t>Tom</t>
  </si>
  <si>
    <t>Steve</t>
  </si>
  <si>
    <t>Dan</t>
  </si>
  <si>
    <t>John</t>
  </si>
  <si>
    <t>Keith</t>
  </si>
  <si>
    <t>David</t>
  </si>
  <si>
    <t>Roger</t>
  </si>
  <si>
    <t>2015 P</t>
  </si>
  <si>
    <t>Sheffiled/Tuxedo/E Mids</t>
  </si>
  <si>
    <t>The Brit Pack</t>
  </si>
  <si>
    <t>Don Amos/Mold/Bristo;</t>
  </si>
  <si>
    <t>Chris Langworthy</t>
  </si>
  <si>
    <t>The Perfect Pitchers</t>
  </si>
  <si>
    <t>Joe O'Leary</t>
  </si>
  <si>
    <t>Josh Betley</t>
  </si>
  <si>
    <t>Three 'n Easy</t>
  </si>
  <si>
    <t>Bolton/Telford</t>
  </si>
  <si>
    <t>Andy Woolley</t>
  </si>
  <si>
    <t>4 On Demand</t>
  </si>
  <si>
    <t>Jamie Braham</t>
  </si>
  <si>
    <t>Calvin Laverick</t>
  </si>
  <si>
    <t>York.Sheffield/E Mids</t>
  </si>
  <si>
    <t>The Need for Swede = 13th</t>
  </si>
  <si>
    <t>Henrik Rosenberg</t>
  </si>
  <si>
    <t>Jake Waghorn</t>
  </si>
  <si>
    <t>EQ</t>
  </si>
  <si>
    <t>Peterborough/Bromley/Don A</t>
  </si>
  <si>
    <t>Mark Gooch</t>
  </si>
  <si>
    <t>Nigel Smith</t>
  </si>
  <si>
    <t>Northern Quarter</t>
  </si>
  <si>
    <t>Manchester Uni'</t>
  </si>
  <si>
    <t>Robert Gall</t>
  </si>
  <si>
    <t>Ciaran Wilson</t>
  </si>
  <si>
    <t>Matt Thomas</t>
  </si>
  <si>
    <t>Seb Marshall</t>
  </si>
  <si>
    <t>Windsor/Portsmouth/Don Amos</t>
  </si>
  <si>
    <t>Alias</t>
  </si>
  <si>
    <t>Bolton/Tux/GWC</t>
  </si>
  <si>
    <t>Sussex/Windsor</t>
  </si>
  <si>
    <t>Man Uni'</t>
  </si>
  <si>
    <t>Student Unison = 23</t>
  </si>
  <si>
    <t>Richard Platt</t>
  </si>
  <si>
    <t>Andy Davies</t>
  </si>
  <si>
    <t>Peter Shipway</t>
  </si>
  <si>
    <t>Tomos Gwyn</t>
  </si>
  <si>
    <t>Johnski Goes to Hollywood</t>
  </si>
  <si>
    <t>Julian Pieters</t>
  </si>
  <si>
    <t>John Andrzejowski</t>
  </si>
  <si>
    <t>Open Road</t>
  </si>
  <si>
    <t>Rolling Hills</t>
  </si>
  <si>
    <t>Colin Howarth</t>
  </si>
  <si>
    <t>Andy Sinclair</t>
  </si>
  <si>
    <t>Joe Jobling</t>
  </si>
  <si>
    <t>Richard Morrison</t>
  </si>
  <si>
    <t>Four Shades of Grey</t>
  </si>
  <si>
    <t>E Mids/Preston/Don Amos</t>
  </si>
  <si>
    <t>Barclay Marshall</t>
  </si>
  <si>
    <t>Graham Lake</t>
  </si>
  <si>
    <t>Ken Miles</t>
  </si>
  <si>
    <t>Richard Barley</t>
  </si>
  <si>
    <t>Cabin Crew</t>
  </si>
  <si>
    <t>Don Amos/Southampton</t>
  </si>
  <si>
    <t>Dudley Stone</t>
  </si>
  <si>
    <t>Jack The Cat</t>
  </si>
  <si>
    <t>Colin Howart</t>
  </si>
  <si>
    <t>Walter Dods</t>
  </si>
  <si>
    <t>Dougie Brown</t>
  </si>
  <si>
    <t>Geoff Stockholm</t>
  </si>
  <si>
    <t>Trailblazers</t>
  </si>
  <si>
    <t>Harmonopoly</t>
  </si>
  <si>
    <t>Joseph Spratt</t>
  </si>
  <si>
    <t>Chris Littlewood</t>
  </si>
  <si>
    <t>Tim Bagley</t>
  </si>
  <si>
    <t>Oliver Gildea</t>
  </si>
  <si>
    <t>Student Unison</t>
  </si>
  <si>
    <t>Mantunian Way - Ben Ferguson</t>
  </si>
  <si>
    <t>Mantunian Way</t>
  </si>
  <si>
    <t>Mantunian Way - Seb Marshall &amp; Tom Guyer</t>
  </si>
  <si>
    <t>The Telfordaires - Andy Funnell</t>
  </si>
  <si>
    <t>Thames Valley Chorus - Peter Cookson = 15th</t>
  </si>
  <si>
    <t>The Kentones - Peter Kennedy</t>
  </si>
  <si>
    <t>Capital Chorus - Pippa Goodall</t>
  </si>
  <si>
    <t>Solent City Chorus - Vincent Iyengar</t>
  </si>
  <si>
    <t>MK Acapella - Lyn Kidby</t>
  </si>
  <si>
    <t>Three Spires Harmony - Andrew Kneeshore = 26th</t>
  </si>
  <si>
    <t>The Pilgrimmaires - Steve Neck</t>
  </si>
  <si>
    <t>Harmony Lincs - Jeremy Curtis</t>
  </si>
  <si>
    <t>Oxford Harmony - Anna Shackleton</t>
  </si>
  <si>
    <t>The White Rose Chorus - Hazel Jiggins</t>
  </si>
  <si>
    <t>Western Approach - Tom Knight</t>
  </si>
  <si>
    <t>East Kent Chorus - David Holloway</t>
  </si>
  <si>
    <t>Scores</t>
  </si>
  <si>
    <t>of Choruses</t>
  </si>
  <si>
    <t>Av' score</t>
  </si>
  <si>
    <t>per Chorus</t>
  </si>
  <si>
    <t>Cornwall &amp; Sth Devon</t>
  </si>
  <si>
    <t>My Romance</t>
  </si>
  <si>
    <t>I Won't Dance</t>
  </si>
  <si>
    <t>East Kent Chorus</t>
  </si>
  <si>
    <t>CCC</t>
  </si>
  <si>
    <t>CC</t>
  </si>
  <si>
    <t>Tuxedo</t>
  </si>
  <si>
    <t>Sound Co</t>
  </si>
  <si>
    <t>Tuxedo Junction 4</t>
  </si>
  <si>
    <t>Mantunian Way 1</t>
  </si>
  <si>
    <t>Mantunian Way 2</t>
  </si>
  <si>
    <t>Richard Gardner</t>
  </si>
  <si>
    <t>I'm Lonesome For You Dear Old Pal</t>
  </si>
  <si>
    <t>Can only win it once every three years</t>
  </si>
  <si>
    <t>Conventions</t>
  </si>
  <si>
    <t>Finest Hour</t>
  </si>
  <si>
    <t>Three 'n' Easy</t>
  </si>
  <si>
    <t>The Need For Swede</t>
  </si>
  <si>
    <t>Northern Star</t>
  </si>
  <si>
    <t>Youthless</t>
  </si>
  <si>
    <t>Johnski Goes To Hollywood</t>
  </si>
  <si>
    <t>Four Shades Of Grey</t>
  </si>
  <si>
    <t>Scarboro Fair</t>
  </si>
  <si>
    <t>Ru Pattie and the Jazz Quintet</t>
  </si>
  <si>
    <t>Resolution</t>
  </si>
  <si>
    <t>Bon A Chord</t>
  </si>
  <si>
    <t>Pacemakes</t>
  </si>
  <si>
    <t>Short Back And Sides</t>
  </si>
  <si>
    <t>Just Us and You</t>
  </si>
  <si>
    <t>Four in The Bar</t>
  </si>
  <si>
    <t>For Cryin Out Loud</t>
  </si>
  <si>
    <t>Buzz Out</t>
  </si>
  <si>
    <t>4 Blokes</t>
  </si>
  <si>
    <t>Four Mchugh</t>
  </si>
  <si>
    <t>X STREME</t>
  </si>
  <si>
    <t>Late Night Exra</t>
  </si>
  <si>
    <t>City Varieties</t>
  </si>
  <si>
    <t>Just For Fun</t>
  </si>
  <si>
    <t>Made To Measure</t>
  </si>
  <si>
    <t>Smiling Thru</t>
  </si>
  <si>
    <t>Boys 'r' Us</t>
  </si>
  <si>
    <t>Reflaction</t>
  </si>
  <si>
    <t>Fourth Avenue</t>
  </si>
  <si>
    <t>Chord In The Act</t>
  </si>
  <si>
    <t>Soundseasy</t>
  </si>
  <si>
    <t>Grafitti</t>
  </si>
  <si>
    <t>Love Me And The World Is Mine</t>
  </si>
  <si>
    <t>Grand Central 2 - Rob Barber</t>
  </si>
  <si>
    <t>Michael Warner 2</t>
  </si>
  <si>
    <t>Brian Schofield 5</t>
  </si>
  <si>
    <t>Pete Nugent 3</t>
  </si>
  <si>
    <t>Paul Sutton</t>
  </si>
  <si>
    <t>Paul Walthers</t>
  </si>
  <si>
    <t>John Hardman</t>
  </si>
  <si>
    <t>Avon/C&amp;SW England</t>
  </si>
  <si>
    <t>Ken Godsell</t>
  </si>
  <si>
    <t>Neil Bennett</t>
  </si>
  <si>
    <t>Terry Mansfield</t>
  </si>
  <si>
    <t>Peter Williams</t>
  </si>
  <si>
    <t>Gary Roussak</t>
  </si>
  <si>
    <t>Andrew Milner</t>
  </si>
  <si>
    <t>Gordon Wright</t>
  </si>
  <si>
    <t>Class Mates</t>
  </si>
  <si>
    <t>Beds &amp; Cambs</t>
  </si>
  <si>
    <t>David Beattie</t>
  </si>
  <si>
    <t>Great Western 8 - Linda Corcoran</t>
  </si>
  <si>
    <t>Cambridge 5 - Bob Croft</t>
  </si>
  <si>
    <t>Spirit of Harmony 4 - Andy Salter</t>
  </si>
  <si>
    <t>David Lane</t>
  </si>
  <si>
    <t>Bill Goodyear</t>
  </si>
  <si>
    <t>Christopher Smith</t>
  </si>
  <si>
    <t>UK</t>
  </si>
  <si>
    <t>Michael Warner</t>
  </si>
  <si>
    <t>Pete Nugent</t>
  </si>
  <si>
    <t>Laurence Hasson</t>
  </si>
  <si>
    <t>Alastair Hay-Plumb</t>
  </si>
  <si>
    <t>Simon Arnott</t>
  </si>
  <si>
    <t>David Foot</t>
  </si>
  <si>
    <t>David Hartley</t>
  </si>
  <si>
    <t>Cambs &amp; Potton</t>
  </si>
  <si>
    <t>Simon Peyton-Jones</t>
  </si>
  <si>
    <t>Middlesborough</t>
  </si>
  <si>
    <t>Geoff Webb</t>
  </si>
  <si>
    <t>Jonathan Coulter</t>
  </si>
  <si>
    <t>Alan Carrick</t>
  </si>
  <si>
    <t>Worthing/Crawley/Cambs</t>
  </si>
  <si>
    <t>Ian Chalmers</t>
  </si>
  <si>
    <t>David Ellwood</t>
  </si>
  <si>
    <t>Kevan Leibling</t>
  </si>
  <si>
    <t>Maryn Dawes</t>
  </si>
  <si>
    <t>Peter Sayer</t>
  </si>
  <si>
    <t>Chris Elliott</t>
  </si>
  <si>
    <t>Rob Taylor</t>
  </si>
  <si>
    <t>Peter White</t>
  </si>
  <si>
    <t>W Mid/Gentlemen Songsters</t>
  </si>
  <si>
    <t>John Brough</t>
  </si>
  <si>
    <t>Alan White</t>
  </si>
  <si>
    <t>Bolton / Portsmouth</t>
  </si>
  <si>
    <t>Dave George</t>
  </si>
  <si>
    <t>David Hughes</t>
  </si>
  <si>
    <t>Richard Thomas</t>
  </si>
  <si>
    <t>Wayne Jackson</t>
  </si>
  <si>
    <t>Steve Dumble</t>
  </si>
  <si>
    <t>Duncan Blakebey</t>
  </si>
  <si>
    <t>Mike Kett</t>
  </si>
  <si>
    <t>Kevan leibling</t>
  </si>
  <si>
    <t>Dave King</t>
  </si>
  <si>
    <t>Alan Thompson</t>
  </si>
  <si>
    <t>Tommy Thompson</t>
  </si>
  <si>
    <t>Norman Davies</t>
  </si>
  <si>
    <t>Mike Barrett</t>
  </si>
  <si>
    <t>Trevor Chrich</t>
  </si>
  <si>
    <t>Rob Sowerby</t>
  </si>
  <si>
    <t>Dyrck Lambe</t>
  </si>
  <si>
    <t>Peter Hills</t>
  </si>
  <si>
    <t>Youth Quartet Competition</t>
  </si>
  <si>
    <t>Fraggle Rock</t>
  </si>
  <si>
    <t>Calder Valley/NYBC</t>
  </si>
  <si>
    <t>Quadzilla</t>
  </si>
  <si>
    <t>Joe Pickin</t>
  </si>
  <si>
    <t>Robert Sawyer</t>
  </si>
  <si>
    <t>Jonathan Sugden</t>
  </si>
  <si>
    <t>Peter Bryant</t>
  </si>
  <si>
    <t>Don Amos/Bristol Uni</t>
  </si>
  <si>
    <t>Jake Wheelr</t>
  </si>
  <si>
    <t>Alex Nodes</t>
  </si>
  <si>
    <t>Alex Hawker</t>
  </si>
  <si>
    <t>Will Sands</t>
  </si>
  <si>
    <t>Philadelphia</t>
  </si>
  <si>
    <t>You Don't Know Me</t>
  </si>
  <si>
    <t>Red Head</t>
  </si>
  <si>
    <t>If I Had My Way</t>
  </si>
  <si>
    <t>Michael Potts</t>
  </si>
  <si>
    <t>Martin Ford 3</t>
  </si>
  <si>
    <t>Neil Firth</t>
  </si>
  <si>
    <t>LICS</t>
  </si>
  <si>
    <t>Camb'/Peterbro'</t>
  </si>
  <si>
    <t>Geoff Unwin 4</t>
  </si>
  <si>
    <t>Andrew Clark</t>
  </si>
  <si>
    <t>Graham Davies</t>
  </si>
  <si>
    <t>Sound Crew</t>
  </si>
  <si>
    <t>Telford</t>
  </si>
  <si>
    <t>Andy Foster</t>
  </si>
  <si>
    <t>Dale Kynaston</t>
  </si>
  <si>
    <t>Andy Funnell</t>
  </si>
  <si>
    <t>The Greenford Gang</t>
  </si>
  <si>
    <t>Lynx</t>
  </si>
  <si>
    <t>Formula Four</t>
  </si>
  <si>
    <t>Ain't Misbehavin'</t>
  </si>
  <si>
    <t>Informality</t>
  </si>
  <si>
    <t>Four In a Bar</t>
  </si>
  <si>
    <t>Growing Pains</t>
  </si>
  <si>
    <t>Reflexion</t>
  </si>
  <si>
    <t>Moonshine</t>
  </si>
  <si>
    <t>Spontaneous Combustion</t>
  </si>
  <si>
    <t>Close Shave</t>
  </si>
  <si>
    <t>Wizziwig</t>
  </si>
  <si>
    <t>Quarter Turn</t>
  </si>
  <si>
    <t>Barbershop Style</t>
  </si>
  <si>
    <t>Major Oak/Notts</t>
  </si>
  <si>
    <t>Glen Chaney</t>
  </si>
  <si>
    <t>The Clwyd Clippers</t>
  </si>
  <si>
    <t>2010 P</t>
  </si>
  <si>
    <t>Reunion</t>
  </si>
  <si>
    <t>Malcolm Davenport</t>
  </si>
  <si>
    <t>Geoff Woodworth</t>
  </si>
  <si>
    <t>Dave Brooks</t>
  </si>
  <si>
    <t>Geoff Thurston</t>
  </si>
  <si>
    <t>Tim Hockin</t>
  </si>
  <si>
    <t>Mike Desmond</t>
  </si>
  <si>
    <t>Eric Crockford</t>
  </si>
  <si>
    <t>Trevor Davies</t>
  </si>
  <si>
    <t>Andrew Collins</t>
  </si>
  <si>
    <t>Glenn Cheney</t>
  </si>
  <si>
    <t>Bob Young</t>
  </si>
  <si>
    <t>Steve Coates</t>
  </si>
  <si>
    <t>Paul Armitage</t>
  </si>
  <si>
    <t>Andrew Sentinella</t>
  </si>
  <si>
    <t>John Morrissey</t>
  </si>
  <si>
    <t>Jeremy Tait</t>
  </si>
  <si>
    <t>Mark Burnip</t>
  </si>
  <si>
    <t>Graham Dawes</t>
  </si>
  <si>
    <t>Alastair Taylor Payne</t>
  </si>
  <si>
    <t>Steve Rose</t>
  </si>
  <si>
    <t>Mick Marsden</t>
  </si>
  <si>
    <t>Larry Anderon</t>
  </si>
  <si>
    <t>Colin Russell</t>
  </si>
  <si>
    <t>John Mould</t>
  </si>
  <si>
    <t>Dennis Stubbings</t>
  </si>
  <si>
    <t>Ken Mays</t>
  </si>
  <si>
    <t>David Groom</t>
  </si>
  <si>
    <t>Roger Keen</t>
  </si>
  <si>
    <t>Steve Hampton</t>
  </si>
  <si>
    <t>Darren Sore</t>
  </si>
  <si>
    <t>Dave Massey</t>
  </si>
  <si>
    <t>John Corcoran</t>
  </si>
  <si>
    <t>Mike Rostock</t>
  </si>
  <si>
    <t>Paul Sherry</t>
  </si>
  <si>
    <t>Rhod Jones</t>
  </si>
  <si>
    <t>Dave Nicholson</t>
  </si>
  <si>
    <t>Carl Clapham</t>
  </si>
  <si>
    <t>Eddie Whelan</t>
  </si>
  <si>
    <t>David Richardson</t>
  </si>
  <si>
    <t>Pete Ryley</t>
  </si>
  <si>
    <t>Dave Boxoid</t>
  </si>
  <si>
    <t>Colin Graham</t>
  </si>
  <si>
    <t>Dave Pritchard</t>
  </si>
  <si>
    <t>Roy Nunn</t>
  </si>
  <si>
    <t>Derek Roberts</t>
  </si>
  <si>
    <t>Monmouth</t>
  </si>
  <si>
    <t>Tim Illson</t>
  </si>
  <si>
    <t>John Emms</t>
  </si>
  <si>
    <t>Andrew Budge</t>
  </si>
  <si>
    <t>Tony Crook</t>
  </si>
  <si>
    <t>Malcolm Robinson</t>
  </si>
  <si>
    <t>Roger Perry</t>
  </si>
  <si>
    <t>Chris Waghorn</t>
  </si>
  <si>
    <t>Simon Gutteridge</t>
  </si>
  <si>
    <t>Tall Order</t>
  </si>
  <si>
    <t>The Piertones</t>
  </si>
  <si>
    <t>Pitch Pipe Owners Club</t>
  </si>
  <si>
    <t>Ten Minute Interval</t>
  </si>
  <si>
    <t>(s2-s1)/(1800-s1)x100</t>
  </si>
  <si>
    <t>Crawley 3 - Bob Walker</t>
  </si>
  <si>
    <t>Great Western 2 - Mike Charles</t>
  </si>
  <si>
    <t>Hallmark of Harmony 1 - John Grant</t>
  </si>
  <si>
    <t>Great Western 3 - Mike Charles</t>
  </si>
  <si>
    <t>Crawley 1 - Bob Walker</t>
  </si>
  <si>
    <t>Andrew Clarke</t>
  </si>
  <si>
    <t>Andrew Clarke 1</t>
  </si>
  <si>
    <t>Andrew Clarke 2</t>
  </si>
  <si>
    <t>Bristol/Bolton/Sheffield/Mold</t>
  </si>
  <si>
    <t>Bristol / Plymouth</t>
  </si>
  <si>
    <t>Bolton / Sheffield</t>
  </si>
  <si>
    <t>Readding/Plymouth/Bristol</t>
  </si>
  <si>
    <t>Jeff Click</t>
  </si>
  <si>
    <t>Bolton/Calder/ Leeds &amp; B</t>
  </si>
  <si>
    <t>Portsmouth &amp; District</t>
  </si>
  <si>
    <t>Jonathan Smith</t>
  </si>
  <si>
    <t>Simon Littlewood</t>
  </si>
  <si>
    <t>Ben Sindall</t>
  </si>
  <si>
    <t>Matthew Loukes</t>
  </si>
  <si>
    <t>Dave Ellwood</t>
  </si>
  <si>
    <t>Swindon / Plymouth</t>
  </si>
  <si>
    <t>Calder Valley/E Mids</t>
  </si>
  <si>
    <t>Andrew Clayton</t>
  </si>
  <si>
    <t>David Moriis</t>
  </si>
  <si>
    <t>Andrew Middleton</t>
  </si>
  <si>
    <t>Crawley/GuildforD/W London</t>
  </si>
  <si>
    <t>Windsor / Guildford</t>
  </si>
  <si>
    <t>Norman Lily</t>
  </si>
  <si>
    <t>Mike Dowd</t>
  </si>
  <si>
    <t>Denis Lax</t>
  </si>
  <si>
    <t>Simon Yeo</t>
  </si>
  <si>
    <t>Steve Creed</t>
  </si>
  <si>
    <t>John Kenny</t>
  </si>
  <si>
    <t>Peter Hughes</t>
  </si>
  <si>
    <t>Preston / Bolton</t>
  </si>
  <si>
    <t>Alex Edwards</t>
  </si>
  <si>
    <t>paul Walters</t>
  </si>
  <si>
    <t>Crawley/Windsor/W London</t>
  </si>
  <si>
    <t>The Charnwoods, Leicester - Roy Phillips</t>
  </si>
  <si>
    <t>The Harbourmasters, East Dorset - Philip White</t>
  </si>
  <si>
    <t>Roker Peers, Wearside - Keith Murray</t>
  </si>
  <si>
    <t>The Charnooods, Leicester - Roy Phillips</t>
  </si>
  <si>
    <t>Liverpool - Bob Kay</t>
  </si>
  <si>
    <t>Worthingaires - Tony Chapman</t>
  </si>
  <si>
    <t>Bournemouth Pinelanders - Ivor Levinson</t>
  </si>
  <si>
    <t>Colchester Barbershop Sound - John Roundtree</t>
  </si>
  <si>
    <t>Harmony Revival, Stockport - Roy Dawson</t>
  </si>
  <si>
    <t>Nottingham Gateway Chorus - Malcolm Walters</t>
  </si>
  <si>
    <t>Elwyn Evans</t>
  </si>
  <si>
    <t>Rainbow's End 9th</t>
  </si>
  <si>
    <t>Quattro 7th</t>
  </si>
  <si>
    <t>Sound Connection 8th</t>
  </si>
  <si>
    <t>Midnight Sound</t>
  </si>
  <si>
    <t>Snobs</t>
  </si>
  <si>
    <t>Weaside</t>
  </si>
  <si>
    <t>The Hove Harmonisers, Brighton &amp; Hove - Ron Avis</t>
  </si>
  <si>
    <t>Great Western Chorus, Bristol - Mike Charles</t>
  </si>
  <si>
    <t>Bridgwater Westering Chorus - Cliff Watson</t>
  </si>
  <si>
    <t>Weston-Super-Mare - Bill Paton</t>
  </si>
  <si>
    <t>Hartlepool - John Oxley</t>
  </si>
  <si>
    <t>Saffron Walden - Barry Devlin</t>
  </si>
  <si>
    <t>The White Rose Singers, Leeds - Nick Lindop</t>
  </si>
  <si>
    <t>Colchester - John Roundtree</t>
  </si>
  <si>
    <t>Paul While 1</t>
  </si>
  <si>
    <t>Paul While 2</t>
  </si>
  <si>
    <t>The Muskcrats</t>
  </si>
  <si>
    <t>Ron Bailey</t>
  </si>
  <si>
    <t>Preston / W Mids</t>
  </si>
  <si>
    <t>Ray Cope</t>
  </si>
  <si>
    <t>John Dickinson</t>
  </si>
  <si>
    <t>Adrian Arscott</t>
  </si>
  <si>
    <t>Nick Graves</t>
  </si>
  <si>
    <t>John Mills</t>
  </si>
  <si>
    <t>Graham Webb</t>
  </si>
  <si>
    <t>Sth &amp; W London</t>
  </si>
  <si>
    <t>A Song Like Daddy Used To Play</t>
  </si>
  <si>
    <t>April Showers</t>
  </si>
  <si>
    <t>First Placed Senior's results</t>
  </si>
  <si>
    <t>Songs</t>
  </si>
  <si>
    <t>Sing</t>
  </si>
  <si>
    <t>Sub Total</t>
  </si>
  <si>
    <t>Georgia on my Mind</t>
  </si>
  <si>
    <t>Jazz Came Up The River</t>
  </si>
  <si>
    <t>Love Letters</t>
  </si>
  <si>
    <t>The Moment I Saw Your Eyes</t>
  </si>
  <si>
    <t>Walking My Baby Back Home</t>
  </si>
  <si>
    <t>Ain't Misbehaving</t>
  </si>
  <si>
    <t>My Wild Irish Rose</t>
  </si>
  <si>
    <t>If You Were The Only Girl in the World</t>
  </si>
  <si>
    <t>Zing Went The Strings Of My Heart</t>
  </si>
  <si>
    <t>Don't Blame Me</t>
  </si>
  <si>
    <t>Heart of my Heart</t>
  </si>
  <si>
    <t>Sweet Georgia Brown</t>
  </si>
  <si>
    <t>You Made Me Love You</t>
  </si>
  <si>
    <t>Bring Back Those Good Old Days</t>
  </si>
  <si>
    <t>Arr</t>
  </si>
  <si>
    <t>If All My Dreams Were Made of Gold</t>
  </si>
  <si>
    <t>Back in the Old Routine</t>
  </si>
  <si>
    <t>That Old Quartet of Mine</t>
  </si>
  <si>
    <t>The Naughtie, Naughtie Nineties</t>
  </si>
  <si>
    <t>Sweet Adeline</t>
  </si>
  <si>
    <t>Colin Bignall</t>
  </si>
  <si>
    <t>Pat Goodall</t>
  </si>
  <si>
    <t>Adrian Bligh</t>
  </si>
  <si>
    <t>Shaun Case</t>
  </si>
  <si>
    <t>Andy Hodson</t>
  </si>
  <si>
    <t>Graham Carter</t>
  </si>
  <si>
    <t>Ronnie Shephard</t>
  </si>
  <si>
    <t>Sussex/Cambs</t>
  </si>
  <si>
    <t>Harpenden/Cambs/MK</t>
  </si>
  <si>
    <t>Kevin Barnes</t>
  </si>
  <si>
    <t>E Mids/Cov/DA</t>
  </si>
  <si>
    <t>Kevin Wilkinson</t>
  </si>
  <si>
    <t>Kevin Liebling</t>
  </si>
  <si>
    <t>Coventry/DA</t>
  </si>
  <si>
    <t>Rob Evatt</t>
  </si>
  <si>
    <t>Dave Reid</t>
  </si>
  <si>
    <t>Chris Wyman</t>
  </si>
  <si>
    <t>Duncan McKenzie</t>
  </si>
  <si>
    <t>Colin Reid</t>
  </si>
  <si>
    <t>David Kennedy</t>
  </si>
  <si>
    <t>Duncan Munro</t>
  </si>
  <si>
    <t>MK</t>
  </si>
  <si>
    <t>Martin Tuckey</t>
  </si>
  <si>
    <t>Ian Barbeary</t>
  </si>
  <si>
    <t>Alastair Taylor Paine</t>
  </si>
  <si>
    <t>Rob Jones</t>
  </si>
  <si>
    <t>Dave Holbert</t>
  </si>
  <si>
    <t>Colin Stebbing</t>
  </si>
  <si>
    <t>Preston &amp; Manch'</t>
  </si>
  <si>
    <t>Saviore Faire</t>
  </si>
  <si>
    <t>Manchester</t>
  </si>
  <si>
    <t>Richard Baker 2</t>
  </si>
  <si>
    <t>Clive Hill 1</t>
  </si>
  <si>
    <t>Colin Maskrey 1</t>
  </si>
  <si>
    <t>Old Gold</t>
  </si>
  <si>
    <t>Newcastle</t>
  </si>
  <si>
    <t>Ted Crow</t>
  </si>
  <si>
    <t>Formation</t>
  </si>
  <si>
    <t>David McLaughlin</t>
  </si>
  <si>
    <t>Rob Yarnall</t>
  </si>
  <si>
    <t>David New</t>
  </si>
  <si>
    <t>Mike Sampson</t>
  </si>
  <si>
    <t>A55</t>
  </si>
  <si>
    <t>Lee White</t>
  </si>
  <si>
    <t>Jason Ward</t>
  </si>
  <si>
    <t>Rob Bennett</t>
  </si>
  <si>
    <t>TQ7</t>
  </si>
  <si>
    <t>Andrew Vaughn</t>
  </si>
  <si>
    <t>Gary Rowe</t>
  </si>
  <si>
    <t>Joe Allen</t>
  </si>
  <si>
    <t>Frank Lawrenson</t>
  </si>
  <si>
    <t>States Express</t>
  </si>
  <si>
    <t>Philip Robbins</t>
  </si>
  <si>
    <t>Graham Bartle</t>
  </si>
  <si>
    <t>Phil Rigby</t>
  </si>
  <si>
    <t>Grand Central Chorus 5 - John Grant</t>
  </si>
  <si>
    <t>David Roberts</t>
  </si>
  <si>
    <t>Stepping Out</t>
  </si>
  <si>
    <t>Cutting Edge</t>
  </si>
  <si>
    <t>Vocal Harmony</t>
  </si>
  <si>
    <t>Premier Crew</t>
  </si>
  <si>
    <t>Four Blokes Singin'</t>
  </si>
  <si>
    <t>Joni Lobo</t>
  </si>
  <si>
    <t>Lavirra</t>
  </si>
  <si>
    <t>Abacus</t>
  </si>
  <si>
    <t>Magnum</t>
  </si>
  <si>
    <t>Black Velvet</t>
  </si>
  <si>
    <t>Alchemy</t>
  </si>
  <si>
    <t>Soundsfun</t>
  </si>
  <si>
    <t>Wharfdale Accord</t>
  </si>
  <si>
    <t>Doghouse</t>
  </si>
  <si>
    <t>Catch 22</t>
  </si>
  <si>
    <t>Music Hall International</t>
  </si>
  <si>
    <t>Last Orders</t>
  </si>
  <si>
    <t>Meltdown</t>
  </si>
  <si>
    <t>Quadrahedron</t>
  </si>
  <si>
    <t>Pacemakers</t>
  </si>
  <si>
    <t>Thunderbirds</t>
  </si>
  <si>
    <t>Pitch Black</t>
  </si>
  <si>
    <t>Four To One</t>
  </si>
  <si>
    <t>JAQ</t>
  </si>
  <si>
    <t>Odyssey</t>
  </si>
  <si>
    <t>Extra Time</t>
  </si>
  <si>
    <t>Free Range</t>
  </si>
  <si>
    <t>Chord Bards</t>
  </si>
  <si>
    <t>Harry's Boat Club</t>
  </si>
  <si>
    <t>Spirit FM</t>
  </si>
  <si>
    <t>Metaphor</t>
  </si>
  <si>
    <t>Excalibur</t>
  </si>
  <si>
    <t>Pony Express</t>
  </si>
  <si>
    <t>Chordwright</t>
  </si>
  <si>
    <t>Quadrehedron</t>
  </si>
  <si>
    <t>Unbreakable</t>
  </si>
  <si>
    <t>Vox</t>
  </si>
  <si>
    <t>Green Room</t>
  </si>
  <si>
    <t>The Sober Tones</t>
  </si>
  <si>
    <t>French Connection</t>
  </si>
  <si>
    <t>Why Not Now</t>
  </si>
  <si>
    <t>Absent Without Leave</t>
  </si>
  <si>
    <t>Forte</t>
  </si>
  <si>
    <t>Deep Blue</t>
  </si>
  <si>
    <t>Bandwagon</t>
  </si>
  <si>
    <t>Offshore Account</t>
  </si>
  <si>
    <t>Fresh Approach</t>
  </si>
  <si>
    <t>Just Us &amp; You</t>
  </si>
  <si>
    <t>4KiX</t>
  </si>
  <si>
    <t>Southern Lights</t>
  </si>
  <si>
    <t>Pact</t>
  </si>
  <si>
    <t>Four Degrees West</t>
  </si>
  <si>
    <t>Footlights</t>
  </si>
  <si>
    <t>Four To The Bar</t>
  </si>
  <si>
    <t>The Associates</t>
  </si>
  <si>
    <t>Connect4</t>
  </si>
  <si>
    <t>Graffitti</t>
  </si>
  <si>
    <t>Jagged Edge</t>
  </si>
  <si>
    <t>Full Scale</t>
  </si>
  <si>
    <t>Incognito</t>
  </si>
  <si>
    <t>Vintage Spirit</t>
  </si>
  <si>
    <t>Harmony Express</t>
  </si>
  <si>
    <t>Sound Basis</t>
  </si>
  <si>
    <t>Alan Hartley 2</t>
  </si>
  <si>
    <t>Alan Sloper 2</t>
  </si>
  <si>
    <t>Dave Dana</t>
  </si>
  <si>
    <t>Bill Paine</t>
  </si>
  <si>
    <t>1998</t>
  </si>
  <si>
    <t>Tom Percy 3</t>
  </si>
  <si>
    <t>Mike Warner 3</t>
  </si>
  <si>
    <t>Tim Taylor 3</t>
  </si>
  <si>
    <t>Mike Taylor 3</t>
  </si>
  <si>
    <t>Jon Conway 2</t>
  </si>
  <si>
    <t>Nickelodeon</t>
  </si>
  <si>
    <t>Chelmsf'd/Saf' Wald'n</t>
  </si>
  <si>
    <t>Steve Green 1</t>
  </si>
  <si>
    <t>Martin Baker</t>
  </si>
  <si>
    <t>Mark Grindall</t>
  </si>
  <si>
    <t>Jim Mullen</t>
  </si>
  <si>
    <t>1999</t>
  </si>
  <si>
    <t>Shockwave</t>
  </si>
  <si>
    <t>Potton &amp; Selby</t>
  </si>
  <si>
    <t>David Brown 3</t>
  </si>
  <si>
    <t>Graham Davies 1</t>
  </si>
  <si>
    <t>Paul Grier 2</t>
  </si>
  <si>
    <t>The Likely Lads</t>
  </si>
  <si>
    <t>Leeds &amp; Bradford</t>
  </si>
  <si>
    <t>Duncan Winyates</t>
  </si>
  <si>
    <t>Lee Sperry</t>
  </si>
  <si>
    <t>Rob Barber</t>
  </si>
  <si>
    <t>Tim Braham 2</t>
  </si>
  <si>
    <t>2000</t>
  </si>
  <si>
    <t>Mike Warner 4</t>
  </si>
  <si>
    <t>Tim Taylor 4</t>
  </si>
  <si>
    <t>Mike Taylor 4</t>
  </si>
  <si>
    <t>Jon Conway 3</t>
  </si>
  <si>
    <t>Wheel Of Harmony</t>
  </si>
  <si>
    <t>MK A Capella - Martin Dawes</t>
  </si>
  <si>
    <t>Fine City Chorus - John Kaporchy</t>
  </si>
  <si>
    <t>Western Approach - Dick Knight</t>
  </si>
  <si>
    <t>Royal Harmonics - Gaye McBride</t>
  </si>
  <si>
    <t>Vocal Academy - Graham Davis</t>
  </si>
  <si>
    <t>Telfordaires - Monica Funnel</t>
  </si>
  <si>
    <t>Solent City - Bill Paine</t>
  </si>
  <si>
    <t>Southern Union - Pete Hills/David Wood</t>
  </si>
  <si>
    <t>Granite City Chorus - Bill Reald</t>
  </si>
  <si>
    <t>Sound of Three Spires - Sue Locklan</t>
  </si>
  <si>
    <t>Fine City Chorus - John Mallett/John Michell</t>
  </si>
  <si>
    <t>Major Oak Chorus - Glen Chaney</t>
  </si>
  <si>
    <t>Richard Mills</t>
  </si>
  <si>
    <t>Knights Of Harmony - Mark Grindall</t>
  </si>
  <si>
    <t>White Rose Singers</t>
  </si>
  <si>
    <t>Red Rose Chorus</t>
  </si>
  <si>
    <t>The Worthingaires</t>
  </si>
  <si>
    <t>Tha Charnwoods, Leicester</t>
  </si>
  <si>
    <t>Vale Harmony,Pershore</t>
  </si>
  <si>
    <t>White Rose Singers, Leeds</t>
  </si>
  <si>
    <t>Red Rose Chorus,Preston</t>
  </si>
  <si>
    <t>Men of Gwent - Martin Flory</t>
  </si>
  <si>
    <t>Chordbusters Inc,Bradford - Steve Hall</t>
  </si>
  <si>
    <t>George Allcock</t>
  </si>
  <si>
    <t>Bruce Ellin</t>
  </si>
  <si>
    <t>Tony Gilbert</t>
  </si>
  <si>
    <t>Ivan Nicholson</t>
  </si>
  <si>
    <t>Gerry Beaver</t>
  </si>
  <si>
    <t>David Mensforth</t>
  </si>
  <si>
    <t>John Knights</t>
  </si>
  <si>
    <t>Bill Francis</t>
  </si>
  <si>
    <t>Roy Newman</t>
  </si>
  <si>
    <t>Ray Sansum</t>
  </si>
  <si>
    <t>Chris Westley</t>
  </si>
  <si>
    <t>John Heaton</t>
  </si>
  <si>
    <t>Derek Ball</t>
  </si>
  <si>
    <t>Don Smith</t>
  </si>
  <si>
    <t>Vic Ted</t>
  </si>
  <si>
    <t>Peter Jannaway</t>
  </si>
  <si>
    <t>Keith Porter</t>
  </si>
  <si>
    <t>Julian Squire</t>
  </si>
  <si>
    <t>Dave Poulter</t>
  </si>
  <si>
    <t>David Ambrose</t>
  </si>
  <si>
    <t>Jeff Cogan</t>
  </si>
  <si>
    <t>Derrick Morris</t>
  </si>
  <si>
    <t>Peter Chaffey</t>
  </si>
  <si>
    <t>Nick Ganes</t>
  </si>
  <si>
    <t>Nigel Wood</t>
  </si>
  <si>
    <t>Steve Coakley</t>
  </si>
  <si>
    <t>Harry Owen</t>
  </si>
  <si>
    <t>John Hunt</t>
  </si>
  <si>
    <t>Bill Smedley</t>
  </si>
  <si>
    <t>Mark Mikke</t>
  </si>
  <si>
    <t>Andy Gow</t>
  </si>
  <si>
    <t>D Brown</t>
  </si>
  <si>
    <t>J Woods</t>
  </si>
  <si>
    <t>B Brookes</t>
  </si>
  <si>
    <t>Steve Holt</t>
  </si>
  <si>
    <t>Noel Robinson</t>
  </si>
  <si>
    <t>Philip Robinson</t>
  </si>
  <si>
    <t>Peter Stevens</t>
  </si>
  <si>
    <t>Keith Smith</t>
  </si>
  <si>
    <t>Patrick Goodall</t>
  </si>
  <si>
    <t>Kieran Roebuck</t>
  </si>
  <si>
    <t>Stephen Wolstenholme</t>
  </si>
  <si>
    <t>Don Bluff</t>
  </si>
  <si>
    <t>Bob Kay</t>
  </si>
  <si>
    <t>Ernie Jordinson</t>
  </si>
  <si>
    <t>Graham Hosgood</t>
  </si>
  <si>
    <t>Ron Winton</t>
  </si>
  <si>
    <t>Dave Garratt</t>
  </si>
  <si>
    <t>John Hill</t>
  </si>
  <si>
    <t>Chris Crutchley</t>
  </si>
  <si>
    <t>Trevor Abbiss</t>
  </si>
  <si>
    <t>Paul Bond</t>
  </si>
  <si>
    <t>Chris Pearce</t>
  </si>
  <si>
    <t>Arthur West</t>
  </si>
  <si>
    <t>Andy Booth</t>
  </si>
  <si>
    <t>Gordon Jeffries</t>
  </si>
  <si>
    <t>Ken Jones</t>
  </si>
  <si>
    <t>David Davies</t>
  </si>
  <si>
    <t>Robin Cartwright</t>
  </si>
  <si>
    <t>John Dickin</t>
  </si>
  <si>
    <t>Ian Collins</t>
  </si>
  <si>
    <t>Tom Per</t>
  </si>
  <si>
    <t>Trevor Crich</t>
  </si>
  <si>
    <t>Sound Impression</t>
  </si>
  <si>
    <t>John Jones</t>
  </si>
  <si>
    <t>Eric Evans</t>
  </si>
  <si>
    <t>B'Mouth/E Dorset</t>
  </si>
  <si>
    <t>John Hanger</t>
  </si>
  <si>
    <t>Peter Brierley</t>
  </si>
  <si>
    <t>Richard Annis</t>
  </si>
  <si>
    <t>Doug M'Guilliam</t>
  </si>
  <si>
    <t>Tony Danser</t>
  </si>
  <si>
    <t>Ken Yates</t>
  </si>
  <si>
    <t>John Dabcer</t>
  </si>
  <si>
    <t>Ron Slade</t>
  </si>
  <si>
    <t>Keith Ireland</t>
  </si>
  <si>
    <t>Doug McWilliam</t>
  </si>
  <si>
    <t>Barrie Charlton</t>
  </si>
  <si>
    <t>Briam Polden</t>
  </si>
  <si>
    <t>Gerry Bergum</t>
  </si>
  <si>
    <t>Derek Giddons</t>
  </si>
  <si>
    <t>Teray Fitspatrick</t>
  </si>
  <si>
    <t>Skip Lavmar</t>
  </si>
  <si>
    <t>Jim Steward</t>
  </si>
  <si>
    <t>Paul McCraken</t>
  </si>
  <si>
    <t>Bill Hardman</t>
  </si>
  <si>
    <t>Harry Cureton</t>
  </si>
  <si>
    <t>Gerry Ryan</t>
  </si>
  <si>
    <t>George Breslin</t>
  </si>
  <si>
    <t>Neil Axelson</t>
  </si>
  <si>
    <t>Pete Williams</t>
  </si>
  <si>
    <t>Peter Bush</t>
  </si>
  <si>
    <t>Michael Daniels</t>
  </si>
  <si>
    <t>Victor Brimacombe</t>
  </si>
  <si>
    <t>Weston</t>
  </si>
  <si>
    <t>Len Bather</t>
  </si>
  <si>
    <t>Arthur Mountney</t>
  </si>
  <si>
    <t>Ray Thompson</t>
  </si>
  <si>
    <t>Peter Crofts</t>
  </si>
  <si>
    <t>Frank Boules</t>
  </si>
  <si>
    <t>Ted Smith</t>
  </si>
  <si>
    <t>Ian Adams</t>
  </si>
  <si>
    <t>Spirit of Harmony - David Brown</t>
  </si>
  <si>
    <t>The Telfordaires - Dale Kynaston</t>
  </si>
  <si>
    <t>Crawley Chordsmen - Bob Tanner</t>
  </si>
  <si>
    <t>Riverside Chorus - Kevan Liebling</t>
  </si>
  <si>
    <t>Cotton Town Chorus - Simon Wilson</t>
  </si>
  <si>
    <t>Rainy City Chorus - Neil Sparks</t>
  </si>
  <si>
    <t>Anvil Chorus - Rick Scott</t>
  </si>
  <si>
    <t>Spirit of Harmony - Terry Adamson</t>
  </si>
  <si>
    <t>Thames Valley Chorus - Tony Searle</t>
  </si>
  <si>
    <t>Crawley Chordsmen - Bob Walker</t>
  </si>
  <si>
    <t>Sound Association - John Batty</t>
  </si>
  <si>
    <t>Sound Association, sale - John Batty</t>
  </si>
  <si>
    <t>The Big County Chorus - Neil Raynor</t>
  </si>
  <si>
    <t>James Northen</t>
  </si>
  <si>
    <t>Steve Emery</t>
  </si>
  <si>
    <t>Keith Hurst</t>
  </si>
  <si>
    <t>Nigel Hicks</t>
  </si>
  <si>
    <t>2009 P</t>
  </si>
  <si>
    <t>Crossfire</t>
  </si>
  <si>
    <t>The Serious Chord Squad</t>
  </si>
  <si>
    <t>Mach 4</t>
  </si>
  <si>
    <t>Late Call</t>
  </si>
  <si>
    <t>Soclose</t>
  </si>
  <si>
    <t>Broadside</t>
  </si>
  <si>
    <t>Anvil - Rod Butcher</t>
  </si>
  <si>
    <t>Clwyd Clippers - Rhiannon Whittle</t>
  </si>
  <si>
    <t>Roker Peers - Peter Jones</t>
  </si>
  <si>
    <t>Riverside Chorus - Paul White</t>
  </si>
  <si>
    <t>White Rose Singers - Nigel Wears</t>
  </si>
  <si>
    <t>Wight Harmony - Stuart Sides</t>
  </si>
  <si>
    <t>Solent City Chorus - Mike Taylor</t>
  </si>
  <si>
    <t>Red Rose Chorus - Simon Hilton</t>
  </si>
  <si>
    <t>Surrey Fringe - Bob Jury</t>
  </si>
  <si>
    <t>Ambassador Chorus - Martin Flory</t>
  </si>
  <si>
    <t>Grand National Chorus - Matt Peters</t>
  </si>
  <si>
    <t>Crawley Chordsmen - Dick Beckford</t>
  </si>
  <si>
    <t>Chesham Buckaneers - Tony Searle</t>
  </si>
  <si>
    <t>Rivertones - Tony Golding</t>
  </si>
  <si>
    <t>Riverside Chorus,Kegworth - Paul White</t>
  </si>
  <si>
    <t>Bromley Kentones - John Mesure</t>
  </si>
  <si>
    <t>Heart of England - Peter Tatham</t>
  </si>
  <si>
    <t>Grand National Chorus - Paul Hacking</t>
  </si>
  <si>
    <t>Roker Peers - Syd Fairs</t>
  </si>
  <si>
    <t>Heart of England Chorus - Peter Tatham</t>
  </si>
  <si>
    <t>Surrey Fringe - Bob Watkin</t>
  </si>
  <si>
    <t>Grand National Chorus - Eddie Evans</t>
  </si>
  <si>
    <t>Chordbusters Inc - Cath Morton</t>
  </si>
  <si>
    <t>Bromley Kentones - Andy Clarke</t>
  </si>
  <si>
    <t>The Rivertones, Taunton - Ron Avis</t>
  </si>
  <si>
    <t>The Highwaymen, Hemel - John Wiggins</t>
  </si>
  <si>
    <t>Crawley Chordsmen - Bill Hilton</t>
  </si>
  <si>
    <t>Red Rose Chorus, Preston - Simon Hilton</t>
  </si>
  <si>
    <t>White Rise Singers - Nigel Wears</t>
  </si>
  <si>
    <t>Bromley Kentones - Andrew Clarke</t>
  </si>
  <si>
    <t>Riverside Chorus, Kegworth - Paul Wilde</t>
  </si>
  <si>
    <t>Tom Halley</t>
  </si>
  <si>
    <t>Phil Leiwy</t>
  </si>
  <si>
    <t>Hamzah Baig</t>
  </si>
  <si>
    <t>Simon Lee</t>
  </si>
  <si>
    <t>Alan Hill</t>
  </si>
  <si>
    <t>Reading/W London</t>
  </si>
  <si>
    <t>Simon Laight</t>
  </si>
  <si>
    <t>Greg Nixon</t>
  </si>
  <si>
    <t>Andy Wheeler</t>
  </si>
  <si>
    <t>Shee/L'Pool/ Calder Valley</t>
  </si>
  <si>
    <t>Telford/E Mids/Bolton</t>
  </si>
  <si>
    <t>Coventry</t>
  </si>
  <si>
    <t>Ben Kimberly</t>
  </si>
  <si>
    <t>Bolton/Portsmouth</t>
  </si>
  <si>
    <t>GC/Calder Val/Sheff</t>
  </si>
  <si>
    <t>Harmony Revival, Stockport - Alan Evans</t>
  </si>
  <si>
    <t>Great Western Chorus, Bristol - Mike Peters</t>
  </si>
  <si>
    <t>Pilgrimaires - Dick Knight</t>
  </si>
  <si>
    <t>Bromley Kentones - Andrew Sentinella</t>
  </si>
  <si>
    <t>Knights of Harmony, Chesham - Tony Searle</t>
  </si>
  <si>
    <t>Solent City - Mike Taylor</t>
  </si>
  <si>
    <t>Crawley Chordsmen - Richard Beckford</t>
  </si>
  <si>
    <t>Telfordaires - Tom Wilkin</t>
  </si>
  <si>
    <t>Rainy City - Ted Ward</t>
  </si>
  <si>
    <t>Paul Cousins</t>
  </si>
  <si>
    <t>Terry Bryant</t>
  </si>
  <si>
    <t>Franz Arkinson</t>
  </si>
  <si>
    <t>Seniors Quartet Competition</t>
  </si>
  <si>
    <t>PRELIMS</t>
  </si>
  <si>
    <t>1991 P</t>
  </si>
  <si>
    <t>Bill Hilton 1</t>
  </si>
  <si>
    <t>Ron Wilkinson</t>
  </si>
  <si>
    <t>Springtime of Senility</t>
  </si>
  <si>
    <t>Pershore</t>
  </si>
  <si>
    <t>David Wilson</t>
  </si>
  <si>
    <t>Norman Ley</t>
  </si>
  <si>
    <t>Derek Rutter</t>
  </si>
  <si>
    <t>Eric Beer 1</t>
  </si>
  <si>
    <t>Whatever Four</t>
  </si>
  <si>
    <t>Charlie Gutteridge</t>
  </si>
  <si>
    <t>Three County Coalition</t>
  </si>
  <si>
    <t>Sheffield &amp; Leeds</t>
  </si>
  <si>
    <t>Special Edition</t>
  </si>
  <si>
    <t>Four Wheel Drive</t>
  </si>
  <si>
    <t>Select Company</t>
  </si>
  <si>
    <t>Fringe Benefit</t>
  </si>
  <si>
    <t>Trivial Pursuit</t>
  </si>
  <si>
    <t>W London, Crawley &amp; Chesham</t>
  </si>
  <si>
    <t>Ring Four Service</t>
  </si>
  <si>
    <t>Parts Company</t>
  </si>
  <si>
    <t>Savannah Steamship Co</t>
  </si>
  <si>
    <t>Special Blend</t>
  </si>
  <si>
    <t>Taunton</t>
  </si>
  <si>
    <t>John Kesteven</t>
  </si>
  <si>
    <t>Fours Company</t>
  </si>
  <si>
    <t>Back in Time</t>
  </si>
  <si>
    <t>Four Star Edition</t>
  </si>
  <si>
    <t>Close For Comfort</t>
  </si>
  <si>
    <t>W London</t>
  </si>
  <si>
    <t>Graham Johnson</t>
  </si>
  <si>
    <t>Paul Gordon</t>
  </si>
  <si>
    <t>Malcolm Keeler</t>
  </si>
  <si>
    <t>Short Notice</t>
  </si>
  <si>
    <t>Overlookers</t>
  </si>
  <si>
    <t>Kennet Valley Chord Co</t>
  </si>
  <si>
    <t>Dimension 4</t>
  </si>
  <si>
    <t>Double Two</t>
  </si>
  <si>
    <t>Chime 'N Again</t>
  </si>
  <si>
    <t>Platform 4</t>
  </si>
  <si>
    <t>The Kennet Valley Chord Co</t>
  </si>
  <si>
    <t>To The Point</t>
  </si>
  <si>
    <t>Limelight</t>
  </si>
  <si>
    <t>Midsummer Boulevard</t>
  </si>
  <si>
    <t>Half Past Four</t>
  </si>
  <si>
    <t>Royal Charter</t>
  </si>
  <si>
    <t>Foremost</t>
  </si>
  <si>
    <t>Capital Venture</t>
  </si>
  <si>
    <t>Peter Gamble</t>
  </si>
  <si>
    <t>Natural Choice</t>
  </si>
  <si>
    <t>Latest Edition</t>
  </si>
  <si>
    <t>County Connection</t>
  </si>
  <si>
    <t>Freestyle</t>
  </si>
  <si>
    <t>City Limits</t>
  </si>
  <si>
    <t>Bourne For Harmony</t>
  </si>
  <si>
    <t>(S2-S1)/S1*100</t>
  </si>
  <si>
    <t>Knights of Harmony (The Highwaymen)</t>
  </si>
  <si>
    <t>Wayfarers Chorus</t>
  </si>
  <si>
    <t>Ridgeway Harmony - Swindon</t>
  </si>
  <si>
    <t>Come Take Your Place In My Heart</t>
  </si>
  <si>
    <t>All Aborad For Dixieland</t>
  </si>
  <si>
    <t>Rainy City Chorus - John Batty</t>
  </si>
  <si>
    <t>Saffron Sound - Barry Devlin</t>
  </si>
  <si>
    <t>Thames Valley Chorus - Pete Powell</t>
  </si>
  <si>
    <t>Liverpool - Eddie Evans</t>
  </si>
  <si>
    <t>Anvil Chorus - Rod Butcher</t>
  </si>
  <si>
    <t>Wight Harmony,Garden Isle - Michael Sides</t>
  </si>
  <si>
    <t>Southern Union, B'Mth &amp; E Dorset - Franz Atkinson</t>
  </si>
  <si>
    <t>Heart of England, Leics - Ian Phillips</t>
  </si>
  <si>
    <t>Shannon Express - Peter Cooke</t>
  </si>
  <si>
    <t>20th</t>
  </si>
  <si>
    <t>21st</t>
  </si>
  <si>
    <t>22nd</t>
  </si>
  <si>
    <t>23rd</t>
  </si>
  <si>
    <t>24th</t>
  </si>
  <si>
    <t>25th</t>
  </si>
  <si>
    <t>Berkshire Barbershoppers, Reading 1 - Pete Powell</t>
  </si>
  <si>
    <t>The County Majority Chorus, Chelmsford - Barry Devlin</t>
  </si>
  <si>
    <t>Thames Valley Chorus - Derek Smith</t>
  </si>
  <si>
    <t>Chordbusters Inc,Bradford - David Brown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</si>
  <si>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</si>
  <si>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</si>
  <si>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</si>
  <si>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</si>
  <si>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</si>
  <si>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</si>
  <si>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</si>
  <si>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</si>
  <si>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</si>
  <si>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</si>
  <si>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</si>
  <si>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</si>
  <si>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</si>
  <si>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</si>
  <si>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Gentlemen Songsters</t>
  </si>
  <si>
    <t>Royal Harmonics 1</t>
  </si>
  <si>
    <t>Knights of Harmony</t>
  </si>
  <si>
    <t>Royal Harmonics 2</t>
  </si>
  <si>
    <t>Fine City Chorus</t>
  </si>
  <si>
    <t>Royal Harmonics 3</t>
  </si>
  <si>
    <t>Solent City Chorus 3</t>
  </si>
  <si>
    <t>Telfordaires - Monica Funnell</t>
  </si>
  <si>
    <t>Red Rose Chorus, Preston - Jack Haslam</t>
  </si>
  <si>
    <t>Harmony Revival, Stockport - Stan Wood</t>
  </si>
  <si>
    <t>Saffron Sound - Paul Davies</t>
  </si>
  <si>
    <t>Smilin' Thru'</t>
  </si>
  <si>
    <t>Russ Beesden</t>
  </si>
  <si>
    <t>1995 P</t>
  </si>
  <si>
    <t>Martin Baker 1</t>
  </si>
  <si>
    <t>Mark Grindall 1</t>
  </si>
  <si>
    <t>1996 P</t>
  </si>
  <si>
    <t>Wall Street</t>
  </si>
  <si>
    <t>Sale</t>
  </si>
  <si>
    <t>Ian Ford</t>
  </si>
  <si>
    <t>Bob Thomson</t>
  </si>
  <si>
    <t>Neil Firth 1</t>
  </si>
  <si>
    <t>1997 P</t>
  </si>
  <si>
    <t>Milton Keynes</t>
  </si>
  <si>
    <t>Mike Tayler</t>
  </si>
  <si>
    <t>Pilgrimaires 2 - Graham Willcocks</t>
  </si>
  <si>
    <t>Pilgrimaires 3 - Graham Willcocks</t>
  </si>
  <si>
    <t>Pilgrimaires - Gordon Wilcocks</t>
  </si>
  <si>
    <t>Pilgrimaires 1 - Gordon Willcocks</t>
  </si>
  <si>
    <t>Hallmark of Harmony - John Grant</t>
  </si>
  <si>
    <t>Tucson</t>
  </si>
  <si>
    <t>Jazz Came Up The River From New Orleans</t>
  </si>
  <si>
    <t>Birth of the Blues</t>
  </si>
  <si>
    <t>Little Pal</t>
  </si>
  <si>
    <t>Hello My Baby</t>
  </si>
  <si>
    <t>risers</t>
  </si>
  <si>
    <t>on</t>
  </si>
  <si>
    <t>No'</t>
  </si>
  <si>
    <t>Salt Lake City</t>
  </si>
  <si>
    <t>Solent City - Tony Chapman</t>
  </si>
  <si>
    <t>Saffron Sound - Ian Russell</t>
  </si>
  <si>
    <t>Riverside Chorus,Kegworth - Tony Robinson</t>
  </si>
  <si>
    <t>Berkshire Barbershopper,Reading - Pete Powell</t>
  </si>
  <si>
    <t>Chelms, Harp'den, Bolton</t>
  </si>
  <si>
    <t>Dave Mellon</t>
  </si>
  <si>
    <t>The Charnwoods, Leicester - Les Simmonds</t>
  </si>
  <si>
    <t>Red Rose Chorus, Preston - Barry Nowell</t>
  </si>
  <si>
    <t>Tyneside - Rolly Ormond</t>
  </si>
  <si>
    <t>The White Rose Singers, Leeds - Clive Landey</t>
  </si>
  <si>
    <t>The Hove Harmonisers, Brighton &amp; Hove - Beric Williams</t>
  </si>
  <si>
    <t>Tyneside 1 - Bert Grimshaw</t>
  </si>
  <si>
    <t>Cotton Town Chorus - Terry Smith</t>
  </si>
  <si>
    <t>Heart of England - Mick Barnacle</t>
  </si>
  <si>
    <t>White Horse Harmony - Graham Lawrence</t>
  </si>
  <si>
    <t>Southern Union - Franz Atkinson</t>
  </si>
  <si>
    <t>Capital Chorus - Andy Petch</t>
  </si>
  <si>
    <t>Harmony Revival - Alan Evans</t>
  </si>
  <si>
    <t>The Riverside Chorus - Graham Wilmott</t>
  </si>
  <si>
    <t>Solent City Chorus - John Beck</t>
  </si>
  <si>
    <t>Grand National Chorus - Bernie Cureton</t>
  </si>
  <si>
    <t xml:space="preserve">Anvil </t>
  </si>
  <si>
    <t>Tuxedo Junction</t>
  </si>
  <si>
    <t>Date</t>
  </si>
  <si>
    <t>Gold</t>
  </si>
  <si>
    <t>Silver</t>
  </si>
  <si>
    <t>Bronze</t>
  </si>
  <si>
    <t>Name</t>
  </si>
  <si>
    <t>Tenor</t>
  </si>
  <si>
    <t>Lead</t>
  </si>
  <si>
    <t>Bass</t>
  </si>
  <si>
    <t>Baritone</t>
  </si>
  <si>
    <t>1974</t>
  </si>
  <si>
    <t>Ringleaders</t>
  </si>
  <si>
    <t>Crawley &amp; Brighton</t>
  </si>
  <si>
    <t>Paul Wren</t>
  </si>
  <si>
    <t>Bob Walker 1</t>
  </si>
  <si>
    <t>Bill Little</t>
  </si>
  <si>
    <t>Ron Avis</t>
  </si>
  <si>
    <t>Beckford Bros</t>
  </si>
  <si>
    <t>Crawley</t>
  </si>
  <si>
    <t>Bert Beckford</t>
  </si>
  <si>
    <t>Dick Beckford</t>
  </si>
  <si>
    <t>John Beckford</t>
  </si>
  <si>
    <t>Bob Beckford</t>
  </si>
  <si>
    <t>Five-Bridge 4</t>
  </si>
  <si>
    <t>Tyneside</t>
  </si>
  <si>
    <t>Bill Gillis</t>
  </si>
  <si>
    <t>Keith Murray</t>
  </si>
  <si>
    <t>Jack Dutton</t>
  </si>
  <si>
    <t>1975</t>
  </si>
  <si>
    <t>Five Bridge Four</t>
  </si>
  <si>
    <t>Wearside</t>
  </si>
  <si>
    <t>DABS</t>
  </si>
  <si>
    <t>Four's Company 8th</t>
  </si>
  <si>
    <t>The Overlookers 9th</t>
  </si>
  <si>
    <t>Silver Lining 8th</t>
  </si>
  <si>
    <t>Plus Four 7th</t>
  </si>
  <si>
    <t>The Covernotes 8th</t>
  </si>
  <si>
    <t>Part Exchange 7th</t>
  </si>
  <si>
    <t>Chordial Exchange 7th</t>
  </si>
  <si>
    <t>Sign Of The Times 8th</t>
  </si>
  <si>
    <t>Music Hall 7th</t>
  </si>
  <si>
    <t>High Fidelity 7th</t>
  </si>
  <si>
    <t>Musical Express 8th</t>
  </si>
  <si>
    <t>Serenade 7th</t>
  </si>
  <si>
    <t>Bagatelle 8th</t>
  </si>
  <si>
    <t>Rapport 9th</t>
  </si>
  <si>
    <t>High Spirits 7th</t>
  </si>
  <si>
    <t>Close Encounters 9th</t>
  </si>
  <si>
    <t>Wheel Of Harmony 7th</t>
  </si>
  <si>
    <t>Flying High 8th</t>
  </si>
  <si>
    <t>Close Encounters 11th</t>
  </si>
  <si>
    <t>Sound Crew 12th</t>
  </si>
  <si>
    <t xml:space="preserve">Top 10 got to the final in this year </t>
  </si>
  <si>
    <t>Savannah 7th</t>
  </si>
  <si>
    <t>Kismet</t>
  </si>
  <si>
    <t>Good Fourtune 9th</t>
  </si>
  <si>
    <t>Savannah 8th</t>
  </si>
  <si>
    <t>Rhapsody 7th</t>
  </si>
  <si>
    <t>A Capella Fellas 8th</t>
  </si>
  <si>
    <t>Midlife Crisis 8th</t>
  </si>
  <si>
    <t>Revelation 7th</t>
  </si>
  <si>
    <t>SHQ 7th</t>
  </si>
  <si>
    <t>Revelation 8th</t>
  </si>
  <si>
    <t>Four Blokes Singing 7th</t>
  </si>
  <si>
    <t>Vocal Harmony 8th</t>
  </si>
  <si>
    <t>Figaro 7th</t>
  </si>
  <si>
    <t>Cadence 8th</t>
  </si>
  <si>
    <t>Guildford - LABBS</t>
  </si>
  <si>
    <t>Colin Marshall</t>
  </si>
  <si>
    <t>Bob Thornton</t>
  </si>
  <si>
    <t>Greg Stevenson</t>
  </si>
  <si>
    <t>Bradford &amp; Leeds</t>
  </si>
  <si>
    <t>East Mids &amp; Sheffield</t>
  </si>
  <si>
    <t xml:space="preserve">Tony Bylett </t>
  </si>
  <si>
    <t>Tom Hudson</t>
  </si>
  <si>
    <t>Headley Leate</t>
  </si>
  <si>
    <t>John Wilkins</t>
  </si>
  <si>
    <t>Exeter</t>
  </si>
  <si>
    <t>Monmouth &amp; B'Mouth</t>
  </si>
  <si>
    <t>Top Flight</t>
  </si>
  <si>
    <t>Chord en Bleu</t>
  </si>
  <si>
    <t>Just In Time</t>
  </si>
  <si>
    <t>Union Pacific</t>
  </si>
  <si>
    <t>Aces High</t>
  </si>
  <si>
    <t>Good Company</t>
  </si>
  <si>
    <t>Streetwise</t>
  </si>
  <si>
    <t>Made to Measure</t>
  </si>
  <si>
    <t>Sharp Image</t>
  </si>
  <si>
    <t>Gentlemen of Note</t>
  </si>
  <si>
    <t>About Time</t>
  </si>
  <si>
    <t>Synergy</t>
  </si>
  <si>
    <t>Leicester Square</t>
  </si>
  <si>
    <t>Scorpio</t>
  </si>
  <si>
    <t>Four Old Tymes Sake</t>
  </si>
  <si>
    <t>Sign Of The Times</t>
  </si>
  <si>
    <t>Root 16</t>
  </si>
  <si>
    <t>Simon Hunt 1</t>
  </si>
  <si>
    <t>Simon Hunt 2</t>
  </si>
  <si>
    <t>Simon Bond 1</t>
  </si>
  <si>
    <t>Simon Bond 2</t>
  </si>
  <si>
    <t>John Clarke 1</t>
  </si>
  <si>
    <t>Bob Davie</t>
  </si>
  <si>
    <t>Competitors</t>
  </si>
  <si>
    <t>Total No' of</t>
  </si>
  <si>
    <t>No' of</t>
  </si>
  <si>
    <t>Choruses</t>
  </si>
  <si>
    <t>Kings Of Herts (Derek Harrison) (23)</t>
  </si>
  <si>
    <t>Fine City Chorus (Carol Logan) (18)</t>
  </si>
  <si>
    <t>M.K. A Cappella (Eddie Kidby) (23)</t>
  </si>
  <si>
    <t>Wight Harmony (Dave Bryant) (31)</t>
  </si>
  <si>
    <t>Harmony Revival (Lesley Carson) (37)</t>
  </si>
  <si>
    <t>Western Approach (Richard Knight) (16)</t>
  </si>
  <si>
    <t>Hereward Harmony (Jeremy Curtis) (24)</t>
  </si>
  <si>
    <t>Solent City Chorus (Peter Mumford) (17)</t>
  </si>
  <si>
    <t>The Rolling Hills Chorus (Nick Hayes) (20)</t>
  </si>
  <si>
    <t>Northern Acchord (Les McGhee) (36)</t>
  </si>
  <si>
    <t>Harrogate Harmony (Dean Whitehouse) (19)</t>
  </si>
  <si>
    <t>Granite City</t>
  </si>
  <si>
    <t>Heart of England</t>
  </si>
  <si>
    <t>Friends in Harmony</t>
  </si>
  <si>
    <t>Cambridge Chord Company (Bob Croft) (47)</t>
  </si>
  <si>
    <t>Great Western Chorus Of Bristol (Linda Corcoran) (54)</t>
  </si>
  <si>
    <t>Peers Of Harmony (Susan Jones) (25)</t>
  </si>
  <si>
    <t>Major Oak</t>
  </si>
  <si>
    <t>Close Encounters</t>
  </si>
  <si>
    <t>Brian Tutt</t>
  </si>
  <si>
    <t>Flying High</t>
  </si>
  <si>
    <t>Pat Deeble</t>
  </si>
  <si>
    <t>Graham Frampton</t>
  </si>
  <si>
    <t>Ed Dolan</t>
  </si>
  <si>
    <t>Jim Downing</t>
  </si>
  <si>
    <t>1998 P</t>
  </si>
  <si>
    <t>1999 P</t>
  </si>
  <si>
    <t>Mike Taylor</t>
  </si>
  <si>
    <t>High Spirits</t>
  </si>
  <si>
    <t>Leeds/Bradford</t>
  </si>
  <si>
    <t>Andrew Salter 1</t>
  </si>
  <si>
    <t>Vale Harmony - Martin Flory</t>
  </si>
  <si>
    <t>Wye Valley - Andrew Walker</t>
  </si>
  <si>
    <t>White Horse Harmony - Katie Doherty</t>
  </si>
  <si>
    <t>Crawley Chordsmen - Tony Pelling</t>
  </si>
  <si>
    <t>Friends in Harmony - Christine Milner</t>
  </si>
  <si>
    <t>Wight Harmony - Alan Davis</t>
  </si>
  <si>
    <t>Ted Stark</t>
  </si>
  <si>
    <t>Alva Marsden</t>
  </si>
  <si>
    <t>Bruse Beer</t>
  </si>
  <si>
    <t>Matthew Torrible</t>
  </si>
  <si>
    <t>Pat Cook</t>
  </si>
  <si>
    <t>Bill Cavanagh</t>
  </si>
  <si>
    <t>Richard Cox</t>
  </si>
  <si>
    <t>Pereston &amp; Gr Manch'</t>
  </si>
  <si>
    <t>P'Borough &amp; Kegworth</t>
  </si>
  <si>
    <t>Preston &amp; B'Pool</t>
  </si>
  <si>
    <t>W Midlands</t>
  </si>
  <si>
    <t>Roy Hodge</t>
  </si>
  <si>
    <t>John Pratley</t>
  </si>
  <si>
    <t>Colin Shelton</t>
  </si>
  <si>
    <t>Wantage</t>
  </si>
  <si>
    <t>Bristol &amp; Wales</t>
  </si>
  <si>
    <t>Saffron Waldon/Chelmsford</t>
  </si>
  <si>
    <t>Geoff</t>
  </si>
  <si>
    <t>Selby</t>
  </si>
  <si>
    <t>Chris Glover</t>
  </si>
  <si>
    <t>Cliff Breakspear</t>
  </si>
  <si>
    <t>John Aldridge</t>
  </si>
  <si>
    <t>Cambs &amp; Sheffield</t>
  </si>
  <si>
    <t>Hemel &amp; Reading</t>
  </si>
  <si>
    <t>Llandudno &amp; Mold</t>
  </si>
  <si>
    <t>Rod Fitzpatrick</t>
  </si>
  <si>
    <t>Dave Crawford</t>
  </si>
  <si>
    <t>Glyn More</t>
  </si>
  <si>
    <t>Laurie Wittle</t>
  </si>
  <si>
    <t>Wantage/Potton</t>
  </si>
  <si>
    <t>Mold</t>
  </si>
  <si>
    <t>David Holbert</t>
  </si>
  <si>
    <t>Gr Manch'/ Mold</t>
  </si>
  <si>
    <t>David Jenkins</t>
  </si>
  <si>
    <t>Bruce Slack</t>
  </si>
  <si>
    <t>Norman Fraser</t>
  </si>
  <si>
    <t>John Merrick</t>
  </si>
  <si>
    <t>Tony Dobson</t>
  </si>
  <si>
    <t>Ian Geddes</t>
  </si>
  <si>
    <t>John Reynolds</t>
  </si>
  <si>
    <t>Dave Bruerton</t>
  </si>
  <si>
    <t>Headlea Leate</t>
  </si>
  <si>
    <t>% Imp'</t>
  </si>
  <si>
    <t>Spirit Of Harmony (Andy Salter) (51)</t>
  </si>
  <si>
    <t>The Telfordaires (Dale Kynaston) (36)</t>
  </si>
  <si>
    <t>Grand Central Chorus (Zac Booles) (35)</t>
  </si>
  <si>
    <t>Shannon Express (Roger Chantrelle) (56)</t>
  </si>
  <si>
    <t>Hallmark Of Harmony (Andy Allen) (34)</t>
  </si>
  <si>
    <t>Tuxedo Junction (Rob Barber) (15)</t>
  </si>
  <si>
    <t>Anvil Chorus (Duncan Whinyates) (34)</t>
  </si>
  <si>
    <t>Harmony Lincs (Richard Curtis) (60)</t>
  </si>
  <si>
    <t>The Kingsmen (Roy Hann) (47)</t>
  </si>
  <si>
    <t>The Kentones (Michael Corr) (45)</t>
  </si>
  <si>
    <t>The Sussex Harmonisers (Peter Kennedy) (32)</t>
  </si>
  <si>
    <t>Southern Union (Pete Hills) (26)</t>
  </si>
  <si>
    <t>Clwyd Clippers (Rhiannon Owens-Hall) (25)</t>
  </si>
  <si>
    <t>5 Ways (Shanna Wells) (12)</t>
  </si>
  <si>
    <t>Granite City Chorus (Colin Reid) (33)</t>
  </si>
  <si>
    <t>Oxford Harmony (Kate Doherty) (28)</t>
  </si>
  <si>
    <t>Don Amos &amp; Bristol</t>
  </si>
  <si>
    <t>Vale of York / Sheffield</t>
  </si>
  <si>
    <t>Bristol / Don Amos</t>
  </si>
  <si>
    <t>Bolton / Vale of York</t>
  </si>
  <si>
    <t>Ro Ro Rollin Along</t>
  </si>
  <si>
    <t>Suzie (What A Gal)</t>
  </si>
  <si>
    <t>Moonlight Bay</t>
  </si>
  <si>
    <t>Little Girl</t>
  </si>
  <si>
    <t>I'm Happy</t>
  </si>
  <si>
    <t>Every Tear Is A Smile In An Irishman's Heart</t>
  </si>
  <si>
    <t>I Got Rhythm</t>
  </si>
  <si>
    <t>When I See All The Lovin' They Waste On Babies</t>
  </si>
  <si>
    <t>Bright Was The Night</t>
  </si>
  <si>
    <t>Tie Me To Your Apronstrings Again</t>
  </si>
  <si>
    <t>Beautiful Dreamer</t>
  </si>
  <si>
    <t>You Make Me Feel So Young</t>
  </si>
  <si>
    <t>After You've Gone</t>
  </si>
  <si>
    <t>Lover Come Back To Me</t>
  </si>
  <si>
    <t>Fit As A Fiddle/For Me And My Gal Medley</t>
  </si>
  <si>
    <t>I'll Take You Home Again Kathleen</t>
  </si>
  <si>
    <t>Is This Just Another Song About Love (Parody)</t>
  </si>
  <si>
    <t>After You've Gone (Parody)</t>
  </si>
  <si>
    <t>Moonlight Becomes You</t>
  </si>
  <si>
    <t>If You Believed In Me</t>
  </si>
  <si>
    <t>Broken Hearted</t>
  </si>
  <si>
    <t>Hollywood Express</t>
  </si>
  <si>
    <t>Good Ol' Barbershop Harmony</t>
  </si>
  <si>
    <t>Steppin' Out</t>
  </si>
  <si>
    <t>2B4</t>
  </si>
  <si>
    <t>Free Spirit</t>
  </si>
  <si>
    <t>The Backroom Boys</t>
  </si>
  <si>
    <t>Southern Brand</t>
  </si>
  <si>
    <t>The Late Shift</t>
  </si>
  <si>
    <t>Centenary Square</t>
  </si>
  <si>
    <t>Tony Searle 3</t>
  </si>
  <si>
    <t>Eddie Prior 2</t>
  </si>
  <si>
    <t>1983 p</t>
  </si>
  <si>
    <t>Tuxedo Junction 2</t>
  </si>
  <si>
    <t>Tuxedo Junction 1</t>
  </si>
  <si>
    <t>Notability</t>
  </si>
  <si>
    <t>Broadway</t>
  </si>
  <si>
    <t>Hartford</t>
  </si>
  <si>
    <t>San Antonio</t>
  </si>
  <si>
    <t>So Long Mother</t>
  </si>
  <si>
    <t>Last Night Was The End Of My World</t>
  </si>
  <si>
    <t>Rain Medley</t>
  </si>
  <si>
    <t>The Church Bells Are Ringing For Mary (Parody)</t>
  </si>
  <si>
    <t>First in the South Only</t>
  </si>
  <si>
    <t>Second in the South Only</t>
  </si>
  <si>
    <t>Third in the South Only</t>
  </si>
  <si>
    <t>PRELIMS (before results could be combined)</t>
  </si>
  <si>
    <t>1977 p</t>
  </si>
  <si>
    <t>Bob Walker</t>
  </si>
  <si>
    <t>1978 p</t>
  </si>
  <si>
    <t>Brighton &amp; Hove</t>
  </si>
  <si>
    <t>Graham Smith</t>
  </si>
  <si>
    <t>Fourth Amendment</t>
  </si>
  <si>
    <t>Mike Arrowsmith</t>
  </si>
  <si>
    <t>Ripchords</t>
  </si>
  <si>
    <t>Chesham</t>
  </si>
  <si>
    <t>Tony Searle 1</t>
  </si>
  <si>
    <t>Ian Stone</t>
  </si>
  <si>
    <t>1979 p</t>
  </si>
  <si>
    <t>1980 p</t>
  </si>
  <si>
    <t>Joint Prelims held in Brimingham on 21/3/81</t>
  </si>
  <si>
    <t>1981 p</t>
  </si>
  <si>
    <t>Tamar Ciders</t>
  </si>
  <si>
    <t>Jack Bird 1</t>
  </si>
  <si>
    <t>Roger Harris</t>
  </si>
  <si>
    <t>Rudy Veltre</t>
  </si>
  <si>
    <t xml:space="preserve">Walkin' My Baby Back Home     </t>
  </si>
  <si>
    <t>2013 P</t>
  </si>
  <si>
    <t>W London, Windsor, Don Amos</t>
  </si>
  <si>
    <t>Paper Moon</t>
  </si>
  <si>
    <t>Sen' Pos'</t>
  </si>
  <si>
    <t>Quar' Pos'</t>
  </si>
  <si>
    <t>BHS Pos'</t>
  </si>
  <si>
    <t>E Mids / Tuxedo Jubction</t>
  </si>
  <si>
    <t>Bournemouth &amp; E Dorset</t>
  </si>
  <si>
    <t>Bromley &amp; Holland</t>
  </si>
  <si>
    <t>Isle of Wight</t>
  </si>
  <si>
    <t>Sheffield &amp; Notts</t>
  </si>
  <si>
    <t>Huntingdon</t>
  </si>
  <si>
    <t>Tuxedo Junction/Anglesey//Notts</t>
  </si>
  <si>
    <t>Peterborough</t>
  </si>
  <si>
    <t>Clywd Clippers/Don Amos</t>
  </si>
  <si>
    <t>Cambridge 3 - Paul Davis</t>
  </si>
  <si>
    <t>Hallmark of Harmony 6 - Steve Holden</t>
  </si>
  <si>
    <t>Grand Central 2 - Mark Burnip</t>
  </si>
  <si>
    <t>Thames Valley Chorus 3 - Steve Hall</t>
  </si>
  <si>
    <t>Grand Central 3 - Mark Burnip</t>
  </si>
  <si>
    <t>Grand Central 3 - Kevin Liebling</t>
  </si>
  <si>
    <t>Cotton Town 1 - Mick Dargan</t>
  </si>
  <si>
    <t>Duncan Blakeley</t>
  </si>
  <si>
    <t>Preston &amp; Bolton</t>
  </si>
  <si>
    <t>Tim Lynn</t>
  </si>
  <si>
    <t>Reading &amp; West London</t>
  </si>
  <si>
    <t>The Sound of Three Spires - John Riseborough</t>
  </si>
  <si>
    <t>The Rivertones - Peter Glover</t>
  </si>
  <si>
    <t>Western Approach - Delwyth Knight</t>
  </si>
  <si>
    <t>The Downsmen - Lisa Robathan</t>
  </si>
  <si>
    <t>Heart of England Chorus - David Codd</t>
  </si>
  <si>
    <t>The Pilgrimmaires - Elaine Ford</t>
  </si>
  <si>
    <t>Kings of Hearts - Michael Bowden</t>
  </si>
  <si>
    <t>The Rolling Hills Chorus - Nick Hayes</t>
  </si>
  <si>
    <t>MK Acapella - Eddie Kidby</t>
  </si>
  <si>
    <t>Wayfarers Chorus - Colin Wayte</t>
  </si>
  <si>
    <t>Orlando</t>
  </si>
  <si>
    <t>=14</t>
  </si>
  <si>
    <t>Kingsmen - Roy Hann</t>
  </si>
  <si>
    <t>Major Oak Chorus - Glenn Chaney</t>
  </si>
  <si>
    <t>Knights of Harmony - Tony Searle</t>
  </si>
  <si>
    <t>Southern Union - Pete Hills</t>
  </si>
  <si>
    <t>Solent City Chorus - Bill Payne</t>
  </si>
  <si>
    <t>Bromley Kentones - Michael Corr</t>
  </si>
  <si>
    <t>Mark Constable</t>
  </si>
  <si>
    <t>Tom Osmond</t>
  </si>
  <si>
    <t>Jerry Cadge</t>
  </si>
  <si>
    <t>Andrew Edgley</t>
  </si>
  <si>
    <t>Peter Walters</t>
  </si>
  <si>
    <t>Marc Time</t>
  </si>
  <si>
    <t>Ray Bylett</t>
  </si>
  <si>
    <t>Bill Martin</t>
  </si>
  <si>
    <t>Cliff Rowe</t>
  </si>
  <si>
    <t>Alan Hinkley</t>
  </si>
  <si>
    <t>The Cotton Buddies</t>
  </si>
  <si>
    <t>Chris Bagueley</t>
  </si>
  <si>
    <t>2012 P</t>
  </si>
  <si>
    <t>Keef Rees</t>
  </si>
  <si>
    <t>The Emerald Guard</t>
  </si>
  <si>
    <t>Usual Suspects</t>
  </si>
  <si>
    <t>Tim Bourne</t>
  </si>
  <si>
    <t>Don Nicholson</t>
  </si>
  <si>
    <t>Bryan Jukes</t>
  </si>
  <si>
    <t>Henry Bell</t>
  </si>
  <si>
    <t>Midlife Crisis</t>
  </si>
  <si>
    <t xml:space="preserve"> Alf Fisher</t>
  </si>
  <si>
    <t xml:space="preserve"> Terry Ash</t>
  </si>
  <si>
    <t xml:space="preserve"> Brian Sperry</t>
  </si>
  <si>
    <t>Roger Wilkinson 2</t>
  </si>
  <si>
    <t>Alan Hill 3</t>
  </si>
  <si>
    <t>Brian Callaghan 2</t>
  </si>
  <si>
    <t>Chris Oliver 2</t>
  </si>
  <si>
    <t>Speculation</t>
  </si>
  <si>
    <t xml:space="preserve"> Chris Brian</t>
  </si>
  <si>
    <t xml:space="preserve"> Mike Dowd</t>
  </si>
  <si>
    <t xml:space="preserve"> Jeff Ellis</t>
  </si>
  <si>
    <t xml:space="preserve"> Denis Lax</t>
  </si>
  <si>
    <t>W London/Reading</t>
  </si>
  <si>
    <t>B'mouth &amp; Reading</t>
  </si>
  <si>
    <t>Reading/Wantage</t>
  </si>
  <si>
    <t>Dale Kynaston 3</t>
  </si>
  <si>
    <t>Paul Cousins 6</t>
  </si>
  <si>
    <t>Terry Bryant 6</t>
  </si>
  <si>
    <t>Bless 'Em All</t>
  </si>
  <si>
    <t>Sheffield/Grand Central</t>
  </si>
  <si>
    <t>Tony Langdown</t>
  </si>
  <si>
    <t>Brian Exley</t>
  </si>
  <si>
    <t>Bruce Turner</t>
  </si>
  <si>
    <t>2006 P</t>
  </si>
  <si>
    <t>This Way Up</t>
  </si>
  <si>
    <t xml:space="preserve">Bolton, Telford, W Mid </t>
  </si>
  <si>
    <t>Red Rose Chorus - Richard Baker</t>
  </si>
  <si>
    <t>White Rose Singers - Alan Peach</t>
  </si>
  <si>
    <t>Solent City - John Beck</t>
  </si>
  <si>
    <t>Vale Harmony, Pershore - David Wilson</t>
  </si>
  <si>
    <t>Berkshire Barbershoppers, Reading - Barry Nowell</t>
  </si>
  <si>
    <t>Great Western Chorus - Ken Taylor</t>
  </si>
  <si>
    <t>Southern Union - Paul Cousins</t>
  </si>
  <si>
    <t>Solent City - Stuart Sides</t>
  </si>
  <si>
    <t>Surrey Fringe - Dave Smith</t>
  </si>
  <si>
    <t>Wye Valley - Martin Flory</t>
  </si>
  <si>
    <t>Cambridge Chord Company - Paul Davies</t>
  </si>
  <si>
    <t>Peers of Harmony - Peter Jones</t>
  </si>
  <si>
    <t>Pilgrimaires - Barry Hine</t>
  </si>
  <si>
    <t>Solent City Chorus - Stuart Sides</t>
  </si>
  <si>
    <t>The Highwaymen - John Wiggins</t>
  </si>
  <si>
    <t>Surry Fringe - Dave Smith</t>
  </si>
  <si>
    <t>White Rose Harmony - Chris Glover</t>
  </si>
  <si>
    <t>Peers of Harmony - Mike Kimber</t>
  </si>
  <si>
    <t>Crawley Chordsmen - Don Amos</t>
  </si>
  <si>
    <t>Great Western Chorus - Barry Sims</t>
  </si>
  <si>
    <t>White Horse Harmony - Chris Glover</t>
  </si>
  <si>
    <t>Peers of Harmony - Fred Carney</t>
  </si>
  <si>
    <t>Capital Chorus - Jean Digby</t>
  </si>
  <si>
    <t>Dave Richardson</t>
  </si>
  <si>
    <t>John Wolstencroft</t>
  </si>
  <si>
    <t>Jeremy Tatt</t>
  </si>
  <si>
    <t>Mike Riches</t>
  </si>
  <si>
    <t>Palmer Davey</t>
  </si>
  <si>
    <t>Thirteenth in the North Only</t>
  </si>
  <si>
    <t>Fourteenth in the North Only</t>
  </si>
  <si>
    <t>Fifteenth in the North Only</t>
  </si>
  <si>
    <t>Sixteenth in the North Only</t>
  </si>
  <si>
    <t>Seventeenth in the North Only</t>
  </si>
  <si>
    <t>Calder Valley/NBYC</t>
  </si>
  <si>
    <t>Alex Kaiserman</t>
  </si>
  <si>
    <t>Tim Briggs</t>
  </si>
  <si>
    <t>Antoine Kaiserman</t>
  </si>
  <si>
    <t>Joe White</t>
  </si>
  <si>
    <t>E Mids/Leics/Cov'</t>
  </si>
  <si>
    <t>Mervyn Thomas</t>
  </si>
  <si>
    <t>Tony Hawley</t>
  </si>
  <si>
    <t>Ian Smith</t>
  </si>
  <si>
    <t>Geoff Ramsay</t>
  </si>
  <si>
    <t>Peter Jones</t>
  </si>
  <si>
    <t>Stewart Hatch</t>
  </si>
  <si>
    <t>Cam/W Mids/Bolton</t>
  </si>
  <si>
    <t>Michael Potts 1</t>
  </si>
  <si>
    <t>Michael Potts 2</t>
  </si>
  <si>
    <t>Keith Rees 1</t>
  </si>
  <si>
    <t>Keith Rees 2</t>
  </si>
  <si>
    <t>Stuart Owen 3</t>
  </si>
  <si>
    <t>Andy Funnel 2</t>
  </si>
  <si>
    <t>Peter Nugent 1</t>
  </si>
  <si>
    <t>Peter Nugent 2</t>
  </si>
  <si>
    <t>Andy Foster 3</t>
  </si>
  <si>
    <t>Alan Hughes 1</t>
  </si>
  <si>
    <t>Alan Hughes 2</t>
  </si>
  <si>
    <t>Zac Booles 1</t>
  </si>
  <si>
    <t>Zac Booles 2</t>
  </si>
  <si>
    <t>Andy Funnel 3</t>
  </si>
  <si>
    <t>Andrew Walker 1</t>
  </si>
  <si>
    <t>Andrew Walker 2</t>
  </si>
  <si>
    <t>David Strachan 1</t>
  </si>
  <si>
    <t>David Strachan 2</t>
  </si>
  <si>
    <t>David Strachan 3</t>
  </si>
  <si>
    <t>Andy Salter 1</t>
  </si>
  <si>
    <t>Andy Salter 2</t>
  </si>
  <si>
    <t>Andy Salter 3</t>
  </si>
  <si>
    <t>Dave Whittle 1</t>
  </si>
  <si>
    <t>Dave Whittle 2</t>
  </si>
  <si>
    <t>Dave Whittle 3</t>
  </si>
  <si>
    <t>Tim Braham 3</t>
  </si>
  <si>
    <t>Tim Braham 4</t>
  </si>
  <si>
    <t>Tony Bylett 4</t>
  </si>
  <si>
    <t>Previous BABS Champion Choruses</t>
  </si>
  <si>
    <t>Spirit of Harmony 1</t>
  </si>
  <si>
    <t>Royal Harmonics</t>
  </si>
  <si>
    <t>Spirit of Harmony 2</t>
  </si>
  <si>
    <t>Total no' of Medals</t>
  </si>
  <si>
    <t>Cotton Town</t>
  </si>
  <si>
    <t>Golds</t>
  </si>
  <si>
    <t>George Porter</t>
  </si>
  <si>
    <t>Mike Kimber</t>
  </si>
  <si>
    <t>Clive Hill 2</t>
  </si>
  <si>
    <t>Colin Maskrey 2</t>
  </si>
  <si>
    <t>Peak Prestige</t>
  </si>
  <si>
    <t>Nigel Newton</t>
  </si>
  <si>
    <t>Chris Bennett</t>
  </si>
  <si>
    <t>John Batty 3</t>
  </si>
  <si>
    <t>New Bright Tones</t>
  </si>
  <si>
    <t>Bob Jones</t>
  </si>
  <si>
    <t>Richard Curtis</t>
  </si>
  <si>
    <t>Four's Company</t>
  </si>
  <si>
    <t>Kegworth</t>
  </si>
  <si>
    <t>Frank Purser</t>
  </si>
  <si>
    <t>Graham Willmott</t>
  </si>
  <si>
    <t>Peter Wildsmith</t>
  </si>
  <si>
    <t>Terry Ash</t>
  </si>
  <si>
    <t>Back In Time</t>
  </si>
  <si>
    <t>Wal Marsden</t>
  </si>
  <si>
    <t>L'Pool/Gwent</t>
  </si>
  <si>
    <t>John Risborough 1</t>
  </si>
  <si>
    <t>Dave Arran 1</t>
  </si>
  <si>
    <t>David Tanner 1</t>
  </si>
  <si>
    <t>John Ward 1</t>
  </si>
  <si>
    <t>Bernie Cureton 4</t>
  </si>
  <si>
    <t>John Risborough 2</t>
  </si>
  <si>
    <t>Dale Kymaston 2</t>
  </si>
  <si>
    <t>Dave Arran 2</t>
  </si>
  <si>
    <t>Jerry Hughes</t>
  </si>
  <si>
    <t>Ken Jewell</t>
  </si>
  <si>
    <t>Ron Workman</t>
  </si>
  <si>
    <t>Norman Orchard</t>
  </si>
  <si>
    <t>Ray Bainbridge</t>
  </si>
  <si>
    <t>Gordon Houlsby</t>
  </si>
  <si>
    <t>John Read</t>
  </si>
  <si>
    <t>Dave Mahon</t>
  </si>
  <si>
    <t>John F Smith</t>
  </si>
  <si>
    <t>Chris Richardson</t>
  </si>
  <si>
    <t>Mike Firth</t>
  </si>
  <si>
    <t>Tony Powell</t>
  </si>
  <si>
    <t>Mike Davie</t>
  </si>
  <si>
    <t>Bob Devine</t>
  </si>
  <si>
    <t>Andrew Coan</t>
  </si>
  <si>
    <t>Jim Goldsmith</t>
  </si>
  <si>
    <t>Glenn Goodman</t>
  </si>
  <si>
    <t>Colin Guizzetti</t>
  </si>
  <si>
    <t>Andy Heap</t>
  </si>
  <si>
    <t>Phil Tobin</t>
  </si>
  <si>
    <t>Jake Wheeler</t>
  </si>
  <si>
    <t>Alex Nobles</t>
  </si>
  <si>
    <t>Preston/Wigan</t>
  </si>
  <si>
    <t>Jim Dennett</t>
  </si>
  <si>
    <t>Norman Ambrose</t>
  </si>
  <si>
    <t>Bernard Davies</t>
  </si>
  <si>
    <t>Derek Styles</t>
  </si>
  <si>
    <t>Kevin Fisher</t>
  </si>
  <si>
    <t>Jim Cook</t>
  </si>
  <si>
    <t>Chas Snailham</t>
  </si>
  <si>
    <t>Gary Batchelor</t>
  </si>
  <si>
    <t>Dave Bryant</t>
  </si>
  <si>
    <t>Graham Mailtland</t>
  </si>
  <si>
    <t>Dave Pointer</t>
  </si>
  <si>
    <t>Cornwall/S Devon</t>
  </si>
  <si>
    <t>Doug Robertson</t>
  </si>
  <si>
    <t>Nigel Weatherhead</t>
  </si>
  <si>
    <t>Chris Brown</t>
  </si>
  <si>
    <t>Peter Gower</t>
  </si>
  <si>
    <t>Joe Benson</t>
  </si>
  <si>
    <t>Chris Oliver 3</t>
  </si>
  <si>
    <t>Double Take</t>
  </si>
  <si>
    <t>Potton/Sawtry</t>
  </si>
  <si>
    <t>Alf Fisher</t>
  </si>
  <si>
    <t>Bob Mason</t>
  </si>
  <si>
    <t>Den Hann</t>
  </si>
  <si>
    <t>Dave Beattie</t>
  </si>
  <si>
    <t>George Beer</t>
  </si>
  <si>
    <t>Ian Radmore</t>
  </si>
  <si>
    <t>Roy Hann</t>
  </si>
  <si>
    <t>David Pritchard</t>
  </si>
  <si>
    <t>Leon Teague</t>
  </si>
  <si>
    <t xml:space="preserve"> Denis Hann</t>
  </si>
  <si>
    <t>Bristol &amp; Monmouth</t>
  </si>
  <si>
    <t>BABS</t>
  </si>
  <si>
    <t>Year</t>
  </si>
  <si>
    <t>Dennis Payne</t>
  </si>
  <si>
    <t>Buckeye</t>
  </si>
  <si>
    <t>SPEBSQSA</t>
  </si>
  <si>
    <t>SWEET ADELINES</t>
  </si>
  <si>
    <t>Invitational</t>
  </si>
  <si>
    <t>Panel</t>
  </si>
  <si>
    <t>Time</t>
  </si>
  <si>
    <t>Ent'</t>
  </si>
  <si>
    <t>Grand Central - Zac Boules</t>
  </si>
  <si>
    <t>Thames Valley Chorus - Rhiannon Owens Hall</t>
  </si>
  <si>
    <t>Telfordaires - Dale Kyneston</t>
  </si>
  <si>
    <t>Anvil Chorus - Duncan Winyates</t>
  </si>
  <si>
    <t>Hallmark of Harmony - Andy Petch</t>
  </si>
  <si>
    <t>Vocal Academy - Graham Davies</t>
  </si>
  <si>
    <t>Shannon Express - Roger Chantrelle</t>
  </si>
  <si>
    <t>Brian Foulsten</t>
  </si>
  <si>
    <t>Sale &amp; Selby</t>
  </si>
  <si>
    <t>The 'C' Siders</t>
  </si>
  <si>
    <t>The Cover Notes</t>
  </si>
  <si>
    <t>White Rose Chorus</t>
  </si>
  <si>
    <t>Solent City Chorus 1</t>
  </si>
  <si>
    <t>Wight Harmony 1</t>
  </si>
  <si>
    <t>Shannon Express 2</t>
  </si>
  <si>
    <t>Rainy City</t>
  </si>
  <si>
    <t>Worthingaires 2</t>
  </si>
  <si>
    <t>Men of Gwent 2</t>
  </si>
  <si>
    <t>Anvil Chorus</t>
  </si>
  <si>
    <t>Saffron Sound</t>
  </si>
  <si>
    <t>White Horse Harmony</t>
  </si>
  <si>
    <t>Phil Ward</t>
  </si>
  <si>
    <t>4th Avenue</t>
  </si>
  <si>
    <t>Newton Abbot</t>
  </si>
  <si>
    <t>Neil Heaseman</t>
  </si>
  <si>
    <t>W Mids/Gentlemen Songsters</t>
  </si>
  <si>
    <t>Colin Bennet</t>
  </si>
  <si>
    <t>Cambridge/Vocal Academy</t>
  </si>
  <si>
    <t>Chris Roberts</t>
  </si>
  <si>
    <t>Thom Box</t>
  </si>
  <si>
    <t>Trevor Harpham</t>
  </si>
  <si>
    <t>Kings of Hearts</t>
  </si>
  <si>
    <t>Steve Anderson</t>
  </si>
  <si>
    <t>Alan Brooke</t>
  </si>
  <si>
    <t>Neil Brinkworth</t>
  </si>
  <si>
    <t>Mick Kett</t>
  </si>
  <si>
    <t>John Bainbridge</t>
  </si>
  <si>
    <t>John Edwards</t>
  </si>
  <si>
    <t>Barrie Bridgeman</t>
  </si>
  <si>
    <t>Mike Lofthouse</t>
  </si>
  <si>
    <t>Steve Wankling</t>
  </si>
  <si>
    <t>Tony Moore</t>
  </si>
  <si>
    <t>W Mids/Cov/Sheffield</t>
  </si>
  <si>
    <t>Steven Mobsby</t>
  </si>
  <si>
    <t>Les Crowther</t>
  </si>
  <si>
    <t>Pete Porter</t>
  </si>
  <si>
    <t>John Archer</t>
  </si>
  <si>
    <t>E Mids/Lincoln</t>
  </si>
  <si>
    <t>Giles Harvey</t>
  </si>
  <si>
    <t>Ronnie Sheppard</t>
  </si>
  <si>
    <t>Mel Smith</t>
  </si>
  <si>
    <t>Sandy Sinclair</t>
  </si>
  <si>
    <t>Tom Dunnett</t>
  </si>
  <si>
    <t>Chris Lombard</t>
  </si>
  <si>
    <t>Charlie Lamont</t>
  </si>
  <si>
    <t>Steve Martin</t>
  </si>
  <si>
    <t>Martin Rayner</t>
  </si>
  <si>
    <t>Terry Luscombe</t>
  </si>
  <si>
    <t>Mike Brown</t>
  </si>
  <si>
    <t>Steven Neck</t>
  </si>
  <si>
    <t>Peter Stock</t>
  </si>
  <si>
    <t>Great Western 3 - Ken Taylor</t>
  </si>
  <si>
    <t>Great Western 4 - Ken Taylor</t>
  </si>
  <si>
    <t>Great Western 5 - Ken Taylor</t>
  </si>
  <si>
    <t>Something for the Weekend</t>
  </si>
  <si>
    <t>Hot Air</t>
  </si>
  <si>
    <t>A Capella Fellas</t>
  </si>
  <si>
    <t>Anything Goes</t>
  </si>
  <si>
    <t>Ionian</t>
  </si>
  <si>
    <t>ASAP</t>
  </si>
  <si>
    <t>Chordination</t>
  </si>
  <si>
    <t>Equinox</t>
  </si>
  <si>
    <t>Bon Accord</t>
  </si>
  <si>
    <t>Savannah = 7th</t>
  </si>
  <si>
    <t>Easy Livin'</t>
  </si>
  <si>
    <t>The Daydreamers</t>
  </si>
  <si>
    <t>Chord in the Act</t>
  </si>
  <si>
    <t>Taking A Chance On Love</t>
  </si>
  <si>
    <t>Love's Old Sweet Song (Parody)</t>
  </si>
  <si>
    <t>I Found A Million Dollar Baby (Parody)</t>
  </si>
  <si>
    <t>Senior's</t>
  </si>
  <si>
    <t>Quartet</t>
  </si>
  <si>
    <t>Sacramento</t>
  </si>
  <si>
    <t>Basin Street Blues</t>
  </si>
  <si>
    <t>Nice Work If You Can Get It</t>
  </si>
  <si>
    <t>Alan Greaves</t>
  </si>
  <si>
    <t>Les Goulding</t>
  </si>
  <si>
    <t>Alan Dearing</t>
  </si>
  <si>
    <t>Colin Sellars</t>
  </si>
  <si>
    <t>Bill Thomas</t>
  </si>
  <si>
    <t>Take Note</t>
  </si>
  <si>
    <t>Kingsbridge</t>
  </si>
  <si>
    <t>Pete Soole</t>
  </si>
  <si>
    <t>Larry Friend</t>
  </si>
  <si>
    <t>John Hinton</t>
  </si>
  <si>
    <t>Brian Cook</t>
  </si>
  <si>
    <t>Top C</t>
  </si>
  <si>
    <t>John Ryley</t>
  </si>
  <si>
    <t>John Lewis</t>
  </si>
  <si>
    <t>Fred Smith</t>
  </si>
  <si>
    <t>Jim Pollock</t>
  </si>
  <si>
    <t>Northern Heritage</t>
  </si>
  <si>
    <t>Preston/Southport</t>
  </si>
  <si>
    <t xml:space="preserve"> John Corcoran</t>
  </si>
  <si>
    <t xml:space="preserve"> Norman Ambrose</t>
  </si>
  <si>
    <t xml:space="preserve"> Bernard Davis</t>
  </si>
  <si>
    <t>Roger Mitchell 2</t>
  </si>
  <si>
    <t>Alan Peach</t>
  </si>
  <si>
    <t>Mike Braham 2</t>
  </si>
  <si>
    <t>Keith Rayner 2</t>
  </si>
  <si>
    <t>Eddie Smith</t>
  </si>
  <si>
    <t>Mike Braham</t>
  </si>
  <si>
    <t>Keith Rayner</t>
  </si>
  <si>
    <t>Times Past</t>
  </si>
  <si>
    <t>Bromley</t>
  </si>
  <si>
    <t>Frank Taylor</t>
  </si>
  <si>
    <t>Jack Willoughby</t>
  </si>
  <si>
    <t>John Mesure</t>
  </si>
  <si>
    <t>Charley Gates</t>
  </si>
  <si>
    <t>2 Plus 2</t>
  </si>
  <si>
    <t>Calder Valley</t>
  </si>
  <si>
    <t>Ray Harris</t>
  </si>
  <si>
    <t>Tony Ford</t>
  </si>
  <si>
    <t>Ray Lloyd</t>
  </si>
  <si>
    <t>Mike Shaw</t>
  </si>
  <si>
    <t>F O F</t>
  </si>
  <si>
    <t>Terry Broome</t>
  </si>
  <si>
    <t>Jeff Ellis</t>
  </si>
  <si>
    <t>Rockaholix</t>
  </si>
  <si>
    <t>Roger Wilkinson 1</t>
  </si>
  <si>
    <t>Alan Hill 2</t>
  </si>
  <si>
    <t>Brian Callaghan 1</t>
  </si>
  <si>
    <t>Chris Oliver 1</t>
  </si>
  <si>
    <t>Voice Male</t>
  </si>
  <si>
    <t>Charlie Gates</t>
  </si>
  <si>
    <t xml:space="preserve"> John Mesure</t>
  </si>
  <si>
    <t>Bill Hilton 2</t>
  </si>
  <si>
    <t>Cordon Bleu</t>
  </si>
  <si>
    <t xml:space="preserve"> John Rayfield</t>
  </si>
  <si>
    <t>John Ray</t>
  </si>
  <si>
    <t xml:space="preserve"> John Vaughan</t>
  </si>
  <si>
    <t>John Weeks</t>
  </si>
  <si>
    <t>Knights of Old</t>
  </si>
  <si>
    <t>Chess Valley</t>
  </si>
  <si>
    <t>QuarteTones</t>
  </si>
  <si>
    <t>Eddie Williams</t>
  </si>
  <si>
    <t>Nigel Wiliiams</t>
  </si>
  <si>
    <t>Natural Selection</t>
  </si>
  <si>
    <t>Jon Dawson</t>
  </si>
  <si>
    <t>Soundcheck</t>
  </si>
  <si>
    <t xml:space="preserve">4 Blokes </t>
  </si>
  <si>
    <t>Tagline</t>
  </si>
  <si>
    <t>Ben Ferguson</t>
  </si>
  <si>
    <t>James Gower-Smith</t>
  </si>
  <si>
    <t>Robert Foot</t>
  </si>
  <si>
    <t>Christopher Langworthy</t>
  </si>
  <si>
    <t>Peter Kennedy 1</t>
  </si>
  <si>
    <t>Andy Curd</t>
  </si>
  <si>
    <t>Gerry Burgum</t>
  </si>
  <si>
    <t>Ron Collis</t>
  </si>
  <si>
    <t>1993 P</t>
  </si>
  <si>
    <t>Banks Of The Tyne</t>
  </si>
  <si>
    <t>N E of England</t>
  </si>
  <si>
    <t>Ted Glass</t>
  </si>
  <si>
    <t>Carr Pritchard</t>
  </si>
  <si>
    <t>The Poachers</t>
  </si>
  <si>
    <t>Humberside</t>
  </si>
  <si>
    <t>John Howard</t>
  </si>
  <si>
    <t>Roly Spencer</t>
  </si>
  <si>
    <t>Mark Grindall 2</t>
  </si>
  <si>
    <t>Calder Valley/Bolton</t>
  </si>
  <si>
    <t>The Harbourmasters, East Dorset</t>
  </si>
  <si>
    <t>Andrew Salter 2</t>
  </si>
  <si>
    <t>Richard Ellis 2</t>
  </si>
  <si>
    <t>Terry Broom 2</t>
  </si>
  <si>
    <t>Gary Williamson</t>
  </si>
  <si>
    <t>2004 P</t>
  </si>
  <si>
    <t>John Palmer</t>
  </si>
  <si>
    <t>2005 P</t>
  </si>
  <si>
    <t>Q.E.D.</t>
  </si>
  <si>
    <t>C/Wall, S Dev',Mon &amp; Bristol</t>
  </si>
  <si>
    <t>Keith Rees</t>
  </si>
  <si>
    <t>Andy Walker</t>
  </si>
  <si>
    <t>Peter Nugent</t>
  </si>
  <si>
    <t>Silver Sound</t>
  </si>
  <si>
    <t>East Midlands</t>
  </si>
  <si>
    <t>Mike McWhinney</t>
  </si>
  <si>
    <t>John Perry</t>
  </si>
  <si>
    <t>Frank Dilkes</t>
  </si>
  <si>
    <t>The Marksmen</t>
  </si>
  <si>
    <t>Roger Mitchell 1</t>
  </si>
  <si>
    <t>Clive Landey</t>
  </si>
  <si>
    <t>Mike Braham 1</t>
  </si>
  <si>
    <t>Aberdeen</t>
  </si>
  <si>
    <t>Bob Stevens</t>
  </si>
  <si>
    <t>Dill Riehl</t>
  </si>
  <si>
    <t>Bill Duff</t>
  </si>
  <si>
    <t>Bob Downie</t>
  </si>
  <si>
    <t>Tom Wilkin</t>
  </si>
  <si>
    <t>2002</t>
  </si>
  <si>
    <t>Brian Schofield 3</t>
  </si>
  <si>
    <t>Andrew Clark 2</t>
  </si>
  <si>
    <t>Graham Davies 2</t>
  </si>
  <si>
    <t>Andy Funnell 1</t>
  </si>
  <si>
    <t>Prime Time</t>
  </si>
  <si>
    <t>Camb'/Ports</t>
  </si>
  <si>
    <t>Steve Green 2</t>
  </si>
  <si>
    <t>Stuart Sides 2</t>
  </si>
  <si>
    <t>Stuart Owen 1</t>
  </si>
  <si>
    <t>2003</t>
  </si>
  <si>
    <t>Dale Kynaston 2</t>
  </si>
  <si>
    <t>Class Act</t>
  </si>
  <si>
    <t>Chelmsf'd/Potton</t>
  </si>
  <si>
    <t>Robert Devine</t>
  </si>
  <si>
    <t>Paul Lally</t>
  </si>
  <si>
    <t>David Crookes</t>
  </si>
  <si>
    <t>Graham Harper</t>
  </si>
  <si>
    <t>Guthrie Freeman</t>
  </si>
  <si>
    <t>Iain Hallam</t>
  </si>
  <si>
    <t>Alex de Bruin</t>
  </si>
  <si>
    <t>Notts/Leics/E Eng</t>
  </si>
  <si>
    <t>Avon &amp; C &amp; SW Eng</t>
  </si>
  <si>
    <t>Brian Darlison</t>
  </si>
  <si>
    <t>Norman Connah</t>
  </si>
  <si>
    <t>Calder/Leeds/Sheffield</t>
  </si>
  <si>
    <t>Nick Allies</t>
  </si>
  <si>
    <t>Ken Hulme</t>
  </si>
  <si>
    <t>Ian Fraser</t>
  </si>
  <si>
    <t>Crawley/Bromley</t>
  </si>
  <si>
    <t xml:space="preserve"> Preston / Sale</t>
  </si>
  <si>
    <t>Leeds Bradford/Calder/Selby</t>
  </si>
  <si>
    <t>Cotton Town 2</t>
  </si>
  <si>
    <t>Jack Bird 2</t>
  </si>
  <si>
    <t>Graham Willcocks 2</t>
  </si>
  <si>
    <t>Bill Bailey, Won't You Please Come Home</t>
  </si>
  <si>
    <t>Thay Can't Take That Away From Me</t>
  </si>
  <si>
    <t>Graham Willcocks 1</t>
  </si>
  <si>
    <t>Ian Wiseman 1</t>
  </si>
  <si>
    <t>Dave Arscott</t>
  </si>
  <si>
    <t>Yesterday's Dreamers</t>
  </si>
  <si>
    <t>John Wiggins 1</t>
  </si>
  <si>
    <t>Tony Searle 2</t>
  </si>
  <si>
    <t>Eddie Prior 1</t>
  </si>
  <si>
    <t>1982 p</t>
  </si>
  <si>
    <t>Downtown Strollers</t>
  </si>
  <si>
    <t>Dick Knight</t>
  </si>
  <si>
    <t>Bob Taylor</t>
  </si>
  <si>
    <t>Graham Ashman</t>
  </si>
  <si>
    <t>Ian Douglas</t>
  </si>
  <si>
    <t>John Wiggins 2</t>
  </si>
  <si>
    <t>Ray Hancock</t>
  </si>
  <si>
    <t>1985 p</t>
  </si>
  <si>
    <t>Delta Kings</t>
  </si>
  <si>
    <t>Potton/Wantage</t>
  </si>
  <si>
    <t>Peter Cooke</t>
  </si>
  <si>
    <t>Park Avenue</t>
  </si>
  <si>
    <t>Garden Isle</t>
  </si>
  <si>
    <t>Tony Littlewood 1</t>
  </si>
  <si>
    <t>David Dana 1</t>
  </si>
  <si>
    <t>1986 p</t>
  </si>
  <si>
    <t>Martin Flory 1</t>
  </si>
  <si>
    <t>Tony Littlewood 2</t>
  </si>
  <si>
    <t>David Dana 2</t>
  </si>
  <si>
    <t>1987 p</t>
  </si>
  <si>
    <t>Brian Schofield</t>
  </si>
  <si>
    <t>Andy Clark</t>
  </si>
  <si>
    <t>1988 p</t>
  </si>
  <si>
    <t>1989 p</t>
  </si>
  <si>
    <t>Alan Hartley 3</t>
  </si>
  <si>
    <t>Stuart Sides</t>
  </si>
  <si>
    <t>Jon Conway</t>
  </si>
  <si>
    <t>1990 p</t>
  </si>
  <si>
    <t>Quarterjacks</t>
  </si>
  <si>
    <t>Chris Smith 1</t>
  </si>
  <si>
    <t>Colin Barley 1</t>
  </si>
  <si>
    <t>Maurice Smith 1</t>
  </si>
  <si>
    <t>Martin Baglow 1</t>
  </si>
  <si>
    <t>1991 p</t>
  </si>
  <si>
    <t>Chris Smith 2</t>
  </si>
  <si>
    <t>Colin Barley 2</t>
  </si>
  <si>
    <t>Maurice Smith 2</t>
  </si>
  <si>
    <t>London/SE/ Home Counties</t>
  </si>
  <si>
    <t>John Higgins</t>
  </si>
  <si>
    <t>Paul Gardner</t>
  </si>
  <si>
    <t>James Porter</t>
  </si>
  <si>
    <t>Gary Evans</t>
  </si>
  <si>
    <t>Chris Schrier</t>
  </si>
  <si>
    <t>Paul Jeffrey</t>
  </si>
  <si>
    <t>Trevor Dawson</t>
  </si>
  <si>
    <t>Gary Norman</t>
  </si>
  <si>
    <t>Tony Howson</t>
  </si>
  <si>
    <t>Cotton Town 4 - Neil Firth</t>
  </si>
  <si>
    <t>Cambridge 6 - Bob Croft</t>
  </si>
  <si>
    <t>Grand Central 4 - John Grant</t>
  </si>
  <si>
    <t>Thames Valley Chorus - Mark Grindall</t>
  </si>
  <si>
    <t>The Kentones - Mike Corr</t>
  </si>
  <si>
    <t>The Sussex Harmonisers - Zoe Peate</t>
  </si>
  <si>
    <t>The Major Oak Chorus - Joe Knight</t>
  </si>
  <si>
    <t>Clwyd Clippers - Rhiannon Owens-Hall</t>
  </si>
  <si>
    <t>Knights of Harmony - Timm Barkworth</t>
  </si>
  <si>
    <t>The Rivertones - Peter Gover</t>
  </si>
  <si>
    <t>5ways - Shanna Wells</t>
  </si>
  <si>
    <t>Harmony Revival - Sue Ward</t>
  </si>
  <si>
    <t>Sound of Three Spires - John Riseborough</t>
  </si>
  <si>
    <t>Ocean Harmony - David Wood</t>
  </si>
  <si>
    <t>MK Acappellla - Eddie Kidby / Chris Large</t>
  </si>
  <si>
    <t>Heart of England - David Codd</t>
  </si>
  <si>
    <t>Fine City</t>
  </si>
  <si>
    <t>Contestant</t>
  </si>
  <si>
    <t>Portobello Road</t>
  </si>
  <si>
    <t>Windsor/W London/Don Amos</t>
  </si>
  <si>
    <t>eXcel</t>
  </si>
  <si>
    <t>Impromptu</t>
  </si>
  <si>
    <t>Sparks</t>
  </si>
  <si>
    <t>The Moondogs</t>
  </si>
  <si>
    <t>Price Tag</t>
  </si>
  <si>
    <t>The Tagpipes</t>
  </si>
  <si>
    <t>The Simpletones</t>
  </si>
  <si>
    <t>Chord Almighty</t>
  </si>
  <si>
    <t>The Travellers</t>
  </si>
  <si>
    <t>The Quadranauts</t>
  </si>
  <si>
    <t>Contraband</t>
  </si>
  <si>
    <t>One Digestive</t>
  </si>
  <si>
    <t>Formidable</t>
  </si>
  <si>
    <t>Sons of Harmony</t>
  </si>
  <si>
    <t>Routemasters</t>
  </si>
  <si>
    <t>Four Crying Out Loud</t>
  </si>
  <si>
    <t>High Definition</t>
  </si>
  <si>
    <t>Isis</t>
  </si>
  <si>
    <t>Work In Progress</t>
  </si>
  <si>
    <t>Drastic Measures</t>
  </si>
  <si>
    <t>Copyright</t>
  </si>
  <si>
    <t>Phristam</t>
  </si>
  <si>
    <t>The 4Tune Seekers</t>
  </si>
  <si>
    <t>Nigel Boucher</t>
  </si>
  <si>
    <t>Hayden Cole</t>
  </si>
  <si>
    <t>Ian Saxby</t>
  </si>
  <si>
    <t>Plymouth/Don Amos</t>
  </si>
  <si>
    <t>Vaughan F Dooley</t>
  </si>
  <si>
    <t>Stephen Cox</t>
  </si>
  <si>
    <t>Andrew McPhee</t>
  </si>
  <si>
    <t>Daniel Jones</t>
  </si>
  <si>
    <t>Callum Richard</t>
  </si>
  <si>
    <t>Shaun McCormack</t>
  </si>
  <si>
    <t>David Sangster</t>
  </si>
  <si>
    <t>Nick Pawley</t>
  </si>
  <si>
    <t>Simon Lubkowski</t>
  </si>
  <si>
    <t>Ian White</t>
  </si>
  <si>
    <t>Nik Robinson</t>
  </si>
  <si>
    <t>Ales Blankley</t>
  </si>
  <si>
    <t>David Sangwell</t>
  </si>
  <si>
    <t>Robert Barber</t>
  </si>
  <si>
    <t>Torsten Hay</t>
  </si>
  <si>
    <t>Chris Blatchford</t>
  </si>
  <si>
    <t>Andy Wooley</t>
  </si>
  <si>
    <t>Tony Parton</t>
  </si>
  <si>
    <t>Derek Harris</t>
  </si>
  <si>
    <t>Tom Jeffries</t>
  </si>
  <si>
    <t>Andrew Douglas</t>
  </si>
  <si>
    <t>Robert Jones</t>
  </si>
  <si>
    <t>Charles Voss</t>
  </si>
  <si>
    <t>Jez Knowles</t>
  </si>
  <si>
    <t>Nigel Cutts</t>
  </si>
  <si>
    <t>Liam Buswell</t>
  </si>
  <si>
    <t>Stephen Riley</t>
  </si>
  <si>
    <t>Tom Fitch</t>
  </si>
  <si>
    <t>Pritpal Gill</t>
  </si>
  <si>
    <t>Stuart Butchers</t>
  </si>
  <si>
    <t>Rob Langley Jones</t>
  </si>
  <si>
    <t>David Hunter</t>
  </si>
  <si>
    <t>Alex Russell</t>
  </si>
  <si>
    <t>Pillip Paine</t>
  </si>
  <si>
    <t>Robert Barr</t>
  </si>
  <si>
    <t>Peter Leverett</t>
  </si>
  <si>
    <t>Anthony White</t>
  </si>
  <si>
    <t>Nigel Worner-Phillips</t>
  </si>
  <si>
    <t>David Colver</t>
  </si>
  <si>
    <t>Brian Millbank</t>
  </si>
  <si>
    <t>Jason Foxwell</t>
  </si>
  <si>
    <t>Joe Hayward</t>
  </si>
  <si>
    <t>David Barber</t>
  </si>
  <si>
    <t>Paul Keeping</t>
  </si>
  <si>
    <t>Nigel Kearney</t>
  </si>
  <si>
    <t>Mike Blundell</t>
  </si>
  <si>
    <t>John Kelsey</t>
  </si>
  <si>
    <t>Ian Dent</t>
  </si>
  <si>
    <t>Phillip Ward</t>
  </si>
  <si>
    <t>Stuart Eels</t>
  </si>
  <si>
    <t>John Drummer</t>
  </si>
  <si>
    <t>David Waterhouse</t>
  </si>
  <si>
    <t>David James</t>
  </si>
  <si>
    <t>Eddie Kidby</t>
  </si>
  <si>
    <t>Don Everest</t>
  </si>
  <si>
    <t>Alan Lamprell</t>
  </si>
  <si>
    <t>Colin Couves</t>
  </si>
  <si>
    <t>Don Booker</t>
  </si>
  <si>
    <t>Ian Quinn</t>
  </si>
  <si>
    <t>B'Mouth/Windsor</t>
  </si>
  <si>
    <t>Hugh Sainsbury</t>
  </si>
  <si>
    <t>Stephen Dumble</t>
  </si>
  <si>
    <t>Preston/Bristol/P'Mouth/Cambs</t>
  </si>
  <si>
    <t>Andrew Edgeley</t>
  </si>
  <si>
    <t>Bill Payne</t>
  </si>
  <si>
    <t>Gerry Cadge</t>
  </si>
  <si>
    <t>Steve Norman</t>
  </si>
  <si>
    <t>Bob Hodgkiss</t>
  </si>
  <si>
    <t>Paul Williams</t>
  </si>
  <si>
    <t>Terry Round</t>
  </si>
  <si>
    <t>Jon Hasell</t>
  </si>
  <si>
    <t>Nick Herrick</t>
  </si>
  <si>
    <t>Louis Heudieres</t>
  </si>
  <si>
    <t>Bobby Ford</t>
  </si>
  <si>
    <t>Mike Abbott</t>
  </si>
  <si>
    <t>James Northern</t>
  </si>
  <si>
    <t>Keith Hirst</t>
  </si>
  <si>
    <t>David Gamble</t>
  </si>
  <si>
    <t>Geoff Titmus</t>
  </si>
  <si>
    <t>Ian Heald</t>
  </si>
  <si>
    <t>Simon McGraw</t>
  </si>
  <si>
    <t>Peter Blakeby</t>
  </si>
  <si>
    <t>Scott Tatton</t>
  </si>
  <si>
    <t>Windsor/Sussex</t>
  </si>
  <si>
    <t>Nigel Green</t>
  </si>
  <si>
    <t>Tamworth/Sheff/Bolton</t>
  </si>
  <si>
    <t>Andy Allen</t>
  </si>
  <si>
    <t>Reg Brooker</t>
  </si>
  <si>
    <t>Old Scoring System    *</t>
  </si>
  <si>
    <t>Sound</t>
  </si>
  <si>
    <t>Interp'</t>
  </si>
  <si>
    <t>SP</t>
  </si>
  <si>
    <t>Arr'</t>
  </si>
  <si>
    <t>NSS</t>
  </si>
  <si>
    <t>Sub</t>
  </si>
  <si>
    <t>Pos'</t>
  </si>
  <si>
    <t>Top</t>
  </si>
  <si>
    <t>Bottom</t>
  </si>
  <si>
    <t>City</t>
  </si>
  <si>
    <t>CHORUS</t>
  </si>
  <si>
    <t>***</t>
  </si>
  <si>
    <t>Total</t>
  </si>
  <si>
    <t>%</t>
  </si>
  <si>
    <t>Score</t>
  </si>
  <si>
    <t>www.harmonize.ws/HarmonetReporter/scores/scormain.htm</t>
  </si>
  <si>
    <t>New Scoring System</t>
  </si>
  <si>
    <t>Music</t>
  </si>
  <si>
    <t>Don Amos/Sheffield/E Mids/Cornwall</t>
  </si>
  <si>
    <t>Sheffield/Vale of York/Don Amos</t>
  </si>
  <si>
    <t>Windsor/Don Amos</t>
  </si>
  <si>
    <t>K Smith</t>
  </si>
  <si>
    <t>Sussex</t>
  </si>
  <si>
    <t>David Keep</t>
  </si>
  <si>
    <t>Charles Lane</t>
  </si>
  <si>
    <t>Dave Madge</t>
  </si>
  <si>
    <t>Pete Dale</t>
  </si>
  <si>
    <t>Dennis Langworthy</t>
  </si>
  <si>
    <t>Steve Hancock</t>
  </si>
  <si>
    <t>Riverside Chorus - Paul Wilde</t>
  </si>
  <si>
    <t>Malcolm Lindsay</t>
  </si>
  <si>
    <t>Jeffrey Mitchell</t>
  </si>
  <si>
    <t>Rus Beedon</t>
  </si>
  <si>
    <t>Roy Caval</t>
  </si>
  <si>
    <t>Arthur Scott</t>
  </si>
  <si>
    <t>Eric Vausa</t>
  </si>
  <si>
    <t>Denis Hodgetts</t>
  </si>
  <si>
    <t>Ernie Smith</t>
  </si>
  <si>
    <t>Tom Hornby</t>
  </si>
  <si>
    <t>Will Godfrey</t>
  </si>
  <si>
    <t>Derek Scarr</t>
  </si>
  <si>
    <t>Michael Brough</t>
  </si>
  <si>
    <t>Bruce MacNally</t>
  </si>
  <si>
    <t>Get Out &amp; Get Under The Moon /Shine On Me</t>
  </si>
  <si>
    <t>Love's Old Sweet Song Parody</t>
  </si>
  <si>
    <t>Cottontown Chorus</t>
  </si>
  <si>
    <t>Mississippi Mud</t>
  </si>
  <si>
    <t>Summertime</t>
  </si>
  <si>
    <t>Denver</t>
  </si>
  <si>
    <t>New Orleans Medley</t>
  </si>
  <si>
    <t>*** NSS = SP Mark re Non Singing Stage Time</t>
  </si>
  <si>
    <t>QUARTET</t>
  </si>
  <si>
    <t>(Av)</t>
  </si>
  <si>
    <t>Roger Mitchell</t>
  </si>
  <si>
    <t>Calder Valley &amp; NE Eng</t>
  </si>
  <si>
    <t>Rob Butcher</t>
  </si>
  <si>
    <t>Cambs &amp; Portsmouth</t>
  </si>
  <si>
    <t>Gr' Manch' &amp; L'Pool</t>
  </si>
  <si>
    <t>NYBC</t>
  </si>
  <si>
    <t>Four Chesmen</t>
  </si>
  <si>
    <t>John Derbyshire</t>
  </si>
  <si>
    <t>Doug Savage</t>
  </si>
  <si>
    <t>Alan Evans</t>
  </si>
  <si>
    <t>Dave Thornley</t>
  </si>
  <si>
    <t>Grand Central 2 - John Grant</t>
  </si>
  <si>
    <t>Hallmark of Harmony 5 - Steve Hall</t>
  </si>
  <si>
    <t>Les McGhee</t>
  </si>
  <si>
    <t>Giovanni Arschwals</t>
  </si>
  <si>
    <t>Peter Cookson</t>
  </si>
  <si>
    <t>Raymond Cope</t>
  </si>
  <si>
    <t>Paul Mason</t>
  </si>
  <si>
    <t>Paul Walters</t>
  </si>
  <si>
    <t>Gary Wellis</t>
  </si>
  <si>
    <t>Rich Derrick</t>
  </si>
  <si>
    <t>Alan Theobold</t>
  </si>
  <si>
    <t>Peter Bannerman</t>
  </si>
  <si>
    <t>Alexander Wilson</t>
  </si>
  <si>
    <t>David Aberdeen</t>
  </si>
  <si>
    <t>Bill Cheyne</t>
  </si>
  <si>
    <t>Edinburgh</t>
  </si>
  <si>
    <t>Nick Drew</t>
  </si>
  <si>
    <t>Alastair Dinnie</t>
  </si>
  <si>
    <t>John Bruce</t>
  </si>
  <si>
    <t>David Snagster</t>
  </si>
  <si>
    <t>James Smith</t>
  </si>
  <si>
    <t>Colin Downie</t>
  </si>
  <si>
    <t>Michael Coumans</t>
  </si>
  <si>
    <t>Cambs</t>
  </si>
  <si>
    <t>James Goldsmith</t>
  </si>
  <si>
    <t>Banbury</t>
  </si>
  <si>
    <t>Rob Sawyer</t>
  </si>
  <si>
    <t>West Mids</t>
  </si>
  <si>
    <t>John Kerr</t>
  </si>
  <si>
    <t>Steve Morris</t>
  </si>
  <si>
    <t>Tim Sowter</t>
  </si>
  <si>
    <t>John Willoughby</t>
  </si>
  <si>
    <t>Charles Gates</t>
  </si>
  <si>
    <t>Mike Tasker</t>
  </si>
  <si>
    <t>Christopher Bennett</t>
  </si>
  <si>
    <t>Granite City Chorus - Bill Reill</t>
  </si>
  <si>
    <t>Royal Harmonics - Hugh Sainsbury</t>
  </si>
  <si>
    <t>Gentlemen Songsters - John Wiggins</t>
  </si>
  <si>
    <t>Bolton,Plymouth,Calder Vally,East Mid</t>
  </si>
  <si>
    <t>Duncan Blackeby</t>
  </si>
  <si>
    <t>Joe Knight</t>
  </si>
  <si>
    <t>David Strachan</t>
  </si>
  <si>
    <t>Andy Salter</t>
  </si>
  <si>
    <t>Music Hall Int'l</t>
  </si>
  <si>
    <t>Frank Salter</t>
  </si>
  <si>
    <t>Jim Greasley</t>
  </si>
  <si>
    <t>Les Simmonds</t>
  </si>
  <si>
    <t>Simon Hunt</t>
  </si>
  <si>
    <t>Simon Bond</t>
  </si>
  <si>
    <t>John Clarke</t>
  </si>
  <si>
    <t>David Rigby</t>
  </si>
  <si>
    <t>W Mid/NBYC/Cornwall/S Devon</t>
  </si>
  <si>
    <t>Steve Mobsby</t>
  </si>
  <si>
    <t>Tom Knight</t>
  </si>
  <si>
    <t>Victor Wong</t>
  </si>
  <si>
    <t>John Smith</t>
  </si>
  <si>
    <t>David Mahon</t>
  </si>
  <si>
    <t>Al Lines</t>
  </si>
  <si>
    <t>Peter Barnett</t>
  </si>
  <si>
    <t>Chordite</t>
  </si>
  <si>
    <t>4th Dimension</t>
  </si>
  <si>
    <t>Main Street</t>
  </si>
  <si>
    <t>Bagatelle</t>
  </si>
  <si>
    <t>The Wye Four</t>
  </si>
  <si>
    <t>Roundabout</t>
  </si>
  <si>
    <t>Certain Style</t>
  </si>
  <si>
    <t>Pole Position</t>
  </si>
  <si>
    <t>Kids At Heart</t>
  </si>
  <si>
    <t>Rapport</t>
  </si>
  <si>
    <t>Fine Tuning</t>
  </si>
  <si>
    <t>Musical Express</t>
  </si>
  <si>
    <t>Close Encounter</t>
  </si>
  <si>
    <t>The Good Guys</t>
  </si>
  <si>
    <t>Fifth Amendment</t>
  </si>
  <si>
    <t>Chapter Four</t>
  </si>
  <si>
    <t>Way Out West</t>
  </si>
  <si>
    <t>Tonix</t>
  </si>
  <si>
    <t>Homespun</t>
  </si>
  <si>
    <t>Boys r Us</t>
  </si>
  <si>
    <t>Happy Daze</t>
  </si>
  <si>
    <t>Serenade = 14th</t>
  </si>
  <si>
    <t>Intermezzo</t>
  </si>
  <si>
    <t>Reflection</t>
  </si>
  <si>
    <t>The Good Guys = 19th</t>
  </si>
  <si>
    <t>Put Your Arms Around Me Honey</t>
  </si>
  <si>
    <t>Cuddle Up A Little Closer, Lovey Mine</t>
  </si>
  <si>
    <t>It's You</t>
  </si>
  <si>
    <t>Wait Til The Sun Shines Nellie</t>
  </si>
  <si>
    <t>When I Leave The World Behind</t>
  </si>
  <si>
    <t>Hallmark of Harmony 2 - John Grant</t>
  </si>
  <si>
    <t>Seventh</t>
  </si>
  <si>
    <t>Eighth</t>
  </si>
  <si>
    <t>Ninth</t>
  </si>
  <si>
    <t>Tenth</t>
  </si>
  <si>
    <t>Eleventh</t>
  </si>
  <si>
    <t>Thirteenth</t>
  </si>
  <si>
    <t>Fourteenth</t>
  </si>
  <si>
    <t>Fifteenth</t>
  </si>
  <si>
    <t>Sixteenth</t>
  </si>
  <si>
    <t>Berkshire Berks</t>
  </si>
  <si>
    <t>County Chords</t>
  </si>
  <si>
    <t>Fourtunaires</t>
  </si>
  <si>
    <t>Raz'rstrop 4</t>
  </si>
  <si>
    <t>Metremen</t>
  </si>
  <si>
    <t>Ultimate Sound Association</t>
  </si>
  <si>
    <t>Occasional Four</t>
  </si>
  <si>
    <t>Four Men In A Bar</t>
  </si>
  <si>
    <t>Cosmopolitans</t>
  </si>
  <si>
    <t>Liverpool Barbers</t>
  </si>
  <si>
    <t>Seventeenth</t>
  </si>
  <si>
    <t>Eighteenth</t>
  </si>
  <si>
    <t>Nineteenth</t>
  </si>
  <si>
    <t>Twentieth</t>
  </si>
  <si>
    <t>Jolly Millers</t>
  </si>
  <si>
    <t>C Siders</t>
  </si>
  <si>
    <t>Square Four</t>
  </si>
  <si>
    <t>Seventh in the South Only</t>
  </si>
  <si>
    <t>Eighth in the South Only</t>
  </si>
  <si>
    <t>Ninth in the South Only</t>
  </si>
  <si>
    <t>Tenth in the South Only</t>
  </si>
  <si>
    <t>Eleventh in the South Only</t>
  </si>
  <si>
    <t>Twelfth</t>
  </si>
  <si>
    <t>Twelfth in the South Only</t>
  </si>
  <si>
    <t>Thirteenth in the South Only</t>
  </si>
  <si>
    <t>Fourteenth in the South Only</t>
  </si>
  <si>
    <t>Fifteenth in the South Only</t>
  </si>
  <si>
    <t>Sixteenth in the South Only</t>
  </si>
  <si>
    <t>Seventeenth in the South Only</t>
  </si>
  <si>
    <t>Eighteenth in the South Only</t>
  </si>
  <si>
    <t>Nineteenth in the South Only</t>
  </si>
  <si>
    <t>Twentieth in the South Only</t>
  </si>
  <si>
    <t>Twenty-first in the South Only</t>
  </si>
  <si>
    <t>Twenty-second in the South Only</t>
  </si>
  <si>
    <t>Twenty-second</t>
  </si>
  <si>
    <t>Twenty-first</t>
  </si>
  <si>
    <t>Seventh in the North Only</t>
  </si>
  <si>
    <t>Eighth in the North Only</t>
  </si>
  <si>
    <t>Ninth in the North Only</t>
  </si>
  <si>
    <t>Tenth in the North Only</t>
  </si>
  <si>
    <t>Eleventh in the North Only</t>
  </si>
  <si>
    <t>Twelfth in the North Only</t>
  </si>
  <si>
    <t>Colin Avery</t>
  </si>
  <si>
    <t>Bob Furness</t>
  </si>
  <si>
    <t>Nick Thomas</t>
  </si>
  <si>
    <t>Just 4 Fun</t>
  </si>
  <si>
    <t>Jeff Mitchell</t>
  </si>
  <si>
    <t>Tony Robson</t>
  </si>
  <si>
    <t>Alan Powell</t>
  </si>
  <si>
    <t>Paul Richardson</t>
  </si>
  <si>
    <t>Reading &amp; Milton Keynes</t>
  </si>
  <si>
    <t>W London Bristol Monmouth Staines</t>
  </si>
  <si>
    <t>Andrew Wright</t>
  </si>
  <si>
    <t>Will Lloyd</t>
  </si>
  <si>
    <t>Roger Tee</t>
  </si>
  <si>
    <t>Tony Thompson</t>
  </si>
  <si>
    <t>Ivan Newman</t>
  </si>
  <si>
    <t>Bill Heslop</t>
  </si>
  <si>
    <t>Ivan Wallis</t>
  </si>
  <si>
    <t>Mike Curtis</t>
  </si>
  <si>
    <t>John Rountree</t>
  </si>
  <si>
    <t>Kevin Pearce 1</t>
  </si>
  <si>
    <t>Mike Charles 1</t>
  </si>
  <si>
    <t>Barry Sims 1</t>
  </si>
  <si>
    <t>Pete Ogden 1</t>
  </si>
  <si>
    <t>1978</t>
  </si>
  <si>
    <t>Class Distinction</t>
  </si>
  <si>
    <t>Allan Henderson</t>
  </si>
  <si>
    <t>Jonathan Hershman</t>
  </si>
  <si>
    <t>Graham Smith 1</t>
  </si>
  <si>
    <t>Jay Dearling</t>
  </si>
  <si>
    <t>Kevin Pearce 2</t>
  </si>
  <si>
    <t>Mike Charles 2</t>
  </si>
  <si>
    <t>Barry Sims 2</t>
  </si>
  <si>
    <t>Pete Ogden 2</t>
  </si>
  <si>
    <t>1979</t>
  </si>
  <si>
    <t>No competition held</t>
  </si>
  <si>
    <t>-</t>
  </si>
  <si>
    <t>Novice Quartet Comp'</t>
  </si>
  <si>
    <t>Partners In Time</t>
  </si>
  <si>
    <t>Dick Coles</t>
  </si>
  <si>
    <t>Pete Powell</t>
  </si>
  <si>
    <t>Dave Heighway</t>
  </si>
  <si>
    <t>Key Rings</t>
  </si>
  <si>
    <t>Mid-West Rebellion 7th</t>
  </si>
  <si>
    <t>Quartet Finals were in the middle of the Saturday evening show.</t>
  </si>
  <si>
    <t>Midnight Sound quartet from Sweden</t>
  </si>
  <si>
    <t>Good Time Singers from Ronninge</t>
  </si>
  <si>
    <t>Four Leaf Clover 7th</t>
  </si>
  <si>
    <t>Yesterday's Dreamers 7th</t>
  </si>
  <si>
    <t>New Brightones 10th</t>
  </si>
  <si>
    <t>Newport Blues 8th</t>
  </si>
  <si>
    <t>Golden Opportunity 7th</t>
  </si>
  <si>
    <t>Musicmart</t>
  </si>
  <si>
    <t>Terre Haut</t>
  </si>
  <si>
    <t>Rainbow's End 8th</t>
  </si>
  <si>
    <t>By Appointment 7th</t>
  </si>
  <si>
    <t>Four's Company 9th</t>
  </si>
  <si>
    <t>Pete Wildsmith</t>
  </si>
  <si>
    <t>Park Avenue 7th</t>
  </si>
  <si>
    <t>Grand Slam 8th</t>
  </si>
  <si>
    <t>Team Spirit 7th</t>
  </si>
  <si>
    <t>Why Four</t>
  </si>
  <si>
    <t>Steve Holden 2</t>
  </si>
  <si>
    <t>Paul Grier 1</t>
  </si>
  <si>
    <t>Tony Bylett 3</t>
  </si>
  <si>
    <t>Wally Coe</t>
  </si>
  <si>
    <t>Geoff Unwin 3</t>
  </si>
  <si>
    <t>Dave James</t>
  </si>
  <si>
    <t>Jack Willougby</t>
  </si>
  <si>
    <t>Ken Taylor</t>
  </si>
  <si>
    <t>Glyn Jones</t>
  </si>
  <si>
    <t>Cambs/Windsor</t>
  </si>
  <si>
    <t>Erik Kerr</t>
  </si>
  <si>
    <t>Duncan Appleby</t>
  </si>
  <si>
    <t>Graham Giles</t>
  </si>
  <si>
    <t>Derek Russell</t>
  </si>
  <si>
    <t>Matt Loukes</t>
  </si>
  <si>
    <t>Mick Nadin</t>
  </si>
  <si>
    <t>Bob Jury</t>
  </si>
  <si>
    <t>Chris Dobbins</t>
  </si>
  <si>
    <t>Chris Hartwright</t>
  </si>
  <si>
    <t>Doug Davies</t>
  </si>
  <si>
    <t>John Powney</t>
  </si>
  <si>
    <t>Tim Nelson</t>
  </si>
  <si>
    <t>Rick Scott</t>
  </si>
  <si>
    <t>Frank Pursey</t>
  </si>
  <si>
    <t>Nick Williams</t>
  </si>
  <si>
    <t>Tony Kaye</t>
  </si>
  <si>
    <t>Nick Howelll</t>
  </si>
  <si>
    <t>Adrian Jeffery</t>
  </si>
  <si>
    <t>Andy Newman</t>
  </si>
  <si>
    <t>Bolton/Bradford</t>
  </si>
  <si>
    <t>Dale Thompson</t>
  </si>
  <si>
    <t>Dave Rigby</t>
  </si>
  <si>
    <t>Brian Shaw</t>
  </si>
  <si>
    <t>Jim Catt 4</t>
  </si>
  <si>
    <t>Ron Pike 4</t>
  </si>
  <si>
    <t>Paul Cousins 4</t>
  </si>
  <si>
    <t>Terry Bryant 4</t>
  </si>
  <si>
    <t>1996</t>
  </si>
  <si>
    <t>Hooked on Harmony</t>
  </si>
  <si>
    <t>Worthing &amp; Crawley</t>
  </si>
  <si>
    <t>Derek Barton 3</t>
  </si>
  <si>
    <t>Brian Schofield 2</t>
  </si>
  <si>
    <t>Tony Bylett</t>
  </si>
  <si>
    <t>Geoff Unwin</t>
  </si>
  <si>
    <t>1997</t>
  </si>
  <si>
    <t>Cambridge Blues</t>
  </si>
  <si>
    <t>Cambridge</t>
  </si>
  <si>
    <t>Bob Croft</t>
  </si>
  <si>
    <t>David Farmer</t>
  </si>
  <si>
    <t>John Palmer 1</t>
  </si>
  <si>
    <t>High Fidelity</t>
  </si>
  <si>
    <t>Portsmouth</t>
  </si>
  <si>
    <t>Mike Warner 2</t>
  </si>
  <si>
    <t>Tim Taylor 2</t>
  </si>
  <si>
    <t>Mike Taylor 2</t>
  </si>
  <si>
    <t>TVQ</t>
  </si>
  <si>
    <t>Ports'</t>
  </si>
  <si>
    <t>Good Fortune</t>
  </si>
  <si>
    <t>Afterglow</t>
  </si>
  <si>
    <t>Vocal Instinct</t>
  </si>
  <si>
    <t>Fine Blend</t>
  </si>
  <si>
    <t>Fortune</t>
  </si>
  <si>
    <t>Southern Heritage</t>
  </si>
  <si>
    <t>Quadraphonic</t>
  </si>
  <si>
    <t>D'Accord</t>
  </si>
  <si>
    <t>Bond Street</t>
  </si>
  <si>
    <t>Ripchord</t>
  </si>
  <si>
    <t>Four Across</t>
  </si>
  <si>
    <t>Sound Byte</t>
  </si>
  <si>
    <t>Bostin' 4 A Pitch</t>
  </si>
  <si>
    <t>Fourtune</t>
  </si>
  <si>
    <t>After Dark</t>
  </si>
  <si>
    <t>Eighteenth in the North Only</t>
  </si>
  <si>
    <t>Nineteenth in the North Only</t>
  </si>
  <si>
    <t>Twentieth in the North Only</t>
  </si>
  <si>
    <t>Twenty-first in the North Only</t>
  </si>
  <si>
    <t>Twenty-second in the North Only</t>
  </si>
  <si>
    <t>Sportsmen</t>
  </si>
  <si>
    <t>Vice Squad</t>
  </si>
  <si>
    <t>Four In Accord</t>
  </si>
  <si>
    <t>Peter Gover</t>
  </si>
  <si>
    <t>John Howell</t>
  </si>
  <si>
    <t>Pat Goodhall</t>
  </si>
  <si>
    <t>John Pengelly</t>
  </si>
  <si>
    <t>Jim Kirby</t>
  </si>
  <si>
    <t>Roker Peers 3 - Keith Murray</t>
  </si>
  <si>
    <t>Crawley 2 - Bob Walker</t>
  </si>
  <si>
    <t>Great Western 4 - Mike Charles</t>
  </si>
  <si>
    <t>Crawley 4 - Bob Walker</t>
  </si>
  <si>
    <t>Hallmark of Harmony 2 John Grant</t>
  </si>
  <si>
    <t>Roker Peers 4 - Keith Murray</t>
  </si>
  <si>
    <t>Pilgrimaires 1 - Graham Willcocks</t>
  </si>
  <si>
    <t>Great Western 2 - Barry Sims</t>
  </si>
  <si>
    <t>VOX</t>
  </si>
  <si>
    <t>Cam/West Mids/Bolton</t>
  </si>
  <si>
    <t>Andy Walker 2</t>
  </si>
  <si>
    <t>Andy Walker 1</t>
  </si>
  <si>
    <t>Cadence</t>
  </si>
  <si>
    <t>Milto Keynes/Sheffield</t>
  </si>
  <si>
    <t>Richard Fischer</t>
  </si>
  <si>
    <t>Keith Hirts</t>
  </si>
  <si>
    <t>Graham Knowles</t>
  </si>
  <si>
    <t>Revised Edition</t>
  </si>
  <si>
    <t>Classic Edition</t>
  </si>
  <si>
    <t>Mike Swinbourne</t>
  </si>
  <si>
    <t>Keith Wilkinson</t>
  </si>
  <si>
    <t>Neville Bavidge</t>
  </si>
  <si>
    <t>Norman Lilley</t>
  </si>
  <si>
    <t>Jeremy Reynolds</t>
  </si>
  <si>
    <t>Alan Hughes</t>
  </si>
  <si>
    <t>Zac Booles</t>
  </si>
  <si>
    <t>DB4</t>
  </si>
  <si>
    <t>Chelms, Harpenden, Bolton</t>
  </si>
  <si>
    <t>Paul Garrett</t>
  </si>
  <si>
    <t>SHQ Too</t>
  </si>
  <si>
    <t>Sounds Fun</t>
  </si>
  <si>
    <t>Preston</t>
  </si>
  <si>
    <t>John Humphries</t>
  </si>
  <si>
    <t>Syd Kay</t>
  </si>
  <si>
    <t>Peter Porter</t>
  </si>
  <si>
    <t>Mike Ingham</t>
  </si>
  <si>
    <t>Wharfedale Accord</t>
  </si>
  <si>
    <t>Mike Shaw 1</t>
  </si>
  <si>
    <t>Mike Riley 1</t>
  </si>
  <si>
    <t>Mike Shaw 2</t>
  </si>
  <si>
    <t>Mike Riley 2</t>
  </si>
  <si>
    <t>Peter Blackeby</t>
  </si>
  <si>
    <t>Dean Whitehouse</t>
  </si>
  <si>
    <t>Peter Johnson</t>
  </si>
  <si>
    <t>Tony Waye</t>
  </si>
  <si>
    <t>Godfrey Churchouse</t>
  </si>
  <si>
    <t>Keith Barker</t>
  </si>
  <si>
    <t>Fourth</t>
  </si>
  <si>
    <t>Fifth</t>
  </si>
  <si>
    <t>Sixth</t>
  </si>
  <si>
    <t>Club</t>
  </si>
  <si>
    <t>Forefathers</t>
  </si>
  <si>
    <t>* Newtown Ringers</t>
  </si>
  <si>
    <t>* 4 Men in a Bar</t>
  </si>
  <si>
    <t>* Joint 5th</t>
  </si>
  <si>
    <t>Sound Idea</t>
  </si>
  <si>
    <t>Senators</t>
  </si>
  <si>
    <t>The Mellowtones</t>
  </si>
  <si>
    <t>Peter Ogden</t>
  </si>
  <si>
    <t>John Batty</t>
  </si>
  <si>
    <t>Union Jacks</t>
  </si>
  <si>
    <t>John Wiggins</t>
  </si>
  <si>
    <t>Harmony Heritage</t>
  </si>
  <si>
    <t>Pete Forrest</t>
  </si>
  <si>
    <t>Pete Bugden</t>
  </si>
  <si>
    <t>Dennis Hodgetts</t>
  </si>
  <si>
    <t>Michael Sides</t>
  </si>
  <si>
    <t>Paul While</t>
  </si>
  <si>
    <t>Fourshore</t>
  </si>
  <si>
    <t>Tony Searle</t>
  </si>
  <si>
    <t>Eddie Prior</t>
  </si>
  <si>
    <t>First Edition</t>
  </si>
  <si>
    <t>East Dorset</t>
  </si>
  <si>
    <t>Greater Manchester</t>
  </si>
  <si>
    <t>Four In A Chord</t>
  </si>
  <si>
    <t>Let The Rest Of The World Go By</t>
  </si>
  <si>
    <t>Silvers</t>
  </si>
  <si>
    <t>Bronzes</t>
  </si>
  <si>
    <t>Order</t>
  </si>
  <si>
    <t>Pilgrimaires</t>
  </si>
  <si>
    <t>Roker Peers</t>
  </si>
  <si>
    <t>BABS Registered Choruses</t>
  </si>
  <si>
    <t>Timm Barkworth 1</t>
  </si>
  <si>
    <t>Tim Barkworth 2</t>
  </si>
  <si>
    <t>If You Had All The World and Its Gold</t>
  </si>
  <si>
    <t>Don Nicolson</t>
  </si>
  <si>
    <t>Mike Furse</t>
  </si>
  <si>
    <t>Syd Fairs 2</t>
  </si>
  <si>
    <t>John Telford 2</t>
  </si>
  <si>
    <t>The New Bright Tones</t>
  </si>
  <si>
    <t>Ian Fairnie</t>
  </si>
  <si>
    <t>Newton Abbott/Plymouth</t>
  </si>
  <si>
    <t>David Thewlis</t>
  </si>
  <si>
    <t>Rick Annis</t>
  </si>
  <si>
    <t>Norwich</t>
  </si>
  <si>
    <t>Brian Hume</t>
  </si>
  <si>
    <t>Stuart Lines</t>
  </si>
  <si>
    <t>Darrel Simpson</t>
  </si>
  <si>
    <t>Graham Cox</t>
  </si>
  <si>
    <t>Harpenden</t>
  </si>
  <si>
    <t>Laurence Prestage</t>
  </si>
  <si>
    <t>Robert Birch</t>
  </si>
  <si>
    <t>Missing Lincs</t>
  </si>
  <si>
    <t>Lincoln</t>
  </si>
  <si>
    <t>Dave Jassie</t>
  </si>
  <si>
    <t>Martyn Lapworth</t>
  </si>
  <si>
    <t>Metro Four</t>
  </si>
  <si>
    <t>Carshalton</t>
  </si>
  <si>
    <t>Harmony Collage</t>
  </si>
  <si>
    <t>Quality Street</t>
  </si>
  <si>
    <t>Close Quarters</t>
  </si>
  <si>
    <t>Southern Comfort</t>
  </si>
  <si>
    <t>Chord Escorts</t>
  </si>
  <si>
    <t>Sounds Parallel</t>
  </si>
  <si>
    <t>Southern Connection</t>
  </si>
  <si>
    <t>Hudson Bay</t>
  </si>
  <si>
    <t>Summer Wine</t>
  </si>
  <si>
    <t>Fourth Dimension</t>
  </si>
  <si>
    <t>Take Four</t>
  </si>
  <si>
    <t>Dept of Health &amp; Social Harmony</t>
  </si>
  <si>
    <t>Chordiality</t>
  </si>
  <si>
    <t>Class Reunion</t>
  </si>
  <si>
    <t>City Squares</t>
  </si>
  <si>
    <t>Credit Chords</t>
  </si>
  <si>
    <t>Fourth &amp; Grand</t>
  </si>
  <si>
    <t>Team Spirrit</t>
  </si>
  <si>
    <t>Short Back &amp; Sides</t>
  </si>
  <si>
    <t>Mother's Pride</t>
  </si>
  <si>
    <t>The Anchormen</t>
  </si>
  <si>
    <t>Ring For Service</t>
  </si>
  <si>
    <t>The House of Chords</t>
  </si>
  <si>
    <t>The Metrognomes</t>
  </si>
  <si>
    <t>South London</t>
  </si>
  <si>
    <t>Cover Notes</t>
  </si>
  <si>
    <t>Blackpool</t>
  </si>
  <si>
    <t>Common Time</t>
  </si>
  <si>
    <t>7Th Generation</t>
  </si>
  <si>
    <t>Home Brew</t>
  </si>
  <si>
    <t>Anglesey</t>
  </si>
  <si>
    <t>Wot 4</t>
  </si>
  <si>
    <t>Adrian Cox</t>
  </si>
  <si>
    <t>Mervyn Clarke</t>
  </si>
  <si>
    <t>Simon Adams</t>
  </si>
  <si>
    <t>Denis Swift</t>
  </si>
  <si>
    <t>Ken Smythe</t>
  </si>
  <si>
    <t>Rod Adams</t>
  </si>
  <si>
    <t>Mike Riley</t>
  </si>
  <si>
    <t>Guildford/Bromley/Crawley</t>
  </si>
  <si>
    <t>Wigan</t>
  </si>
  <si>
    <t>City Variety</t>
  </si>
  <si>
    <t>Stu Wineberg</t>
  </si>
  <si>
    <t>Blackpool &amp; Fyld</t>
  </si>
  <si>
    <t>Sheffiled</t>
  </si>
  <si>
    <t>Cliff Long</t>
  </si>
  <si>
    <t>Roy Campbell</t>
  </si>
  <si>
    <t>John McClaren</t>
  </si>
  <si>
    <t>Dave Blezard</t>
  </si>
  <si>
    <t>Cotton Town 5 - Neil Firth</t>
  </si>
  <si>
    <t>The Royal Harmonics - John Palmer</t>
  </si>
  <si>
    <t>The Royal Harmonics 1 - John Palmer</t>
  </si>
  <si>
    <t>Spirit of Harmony - Sally McLean</t>
  </si>
  <si>
    <t>Cambridge Chord Company - Bob Croft, Ian James</t>
  </si>
  <si>
    <t>Shannon Express - Tony Bylett</t>
  </si>
  <si>
    <t>The Telfordaires - Peter Hughes, Alan Hughes</t>
  </si>
  <si>
    <t>Capital Chorus - Julian Nichol, Aidan Brand</t>
  </si>
  <si>
    <t>The Red Rose Chorus - Emma McManus</t>
  </si>
  <si>
    <t>Ocean Harmony - Mike Beven</t>
  </si>
  <si>
    <t>Essex Chordsmen - Geoff White</t>
  </si>
  <si>
    <t>Solent City Chorus - Chris Tweed, Peter Mumford</t>
  </si>
  <si>
    <t>The Big County Chorus - Hazel Jiggins</t>
  </si>
  <si>
    <t>The Surrey Fringe - Ron Billard</t>
  </si>
  <si>
    <t>Chelmsford Star Harmony - Nick Allies</t>
  </si>
  <si>
    <t>MK Acapella - Martin Raynor</t>
  </si>
  <si>
    <t>Magna Carter Chorus - Nick Davis</t>
  </si>
  <si>
    <t>Essex Chordsmen - Chelmsford Star Harmony ??</t>
  </si>
  <si>
    <t>The Surrey Fringe (Ron Billard) (34)</t>
  </si>
  <si>
    <t>Keith Northrop 5</t>
  </si>
  <si>
    <t>Tennessee</t>
  </si>
  <si>
    <t>2008 P</t>
  </si>
  <si>
    <t>Velvet Blue</t>
  </si>
  <si>
    <t>Bernard Smith</t>
  </si>
  <si>
    <t>George Eves</t>
  </si>
  <si>
    <t>Roy Titmus</t>
  </si>
  <si>
    <t>Dave Dickinson</t>
  </si>
  <si>
    <t>Steel</t>
  </si>
  <si>
    <t>Derek Hollis</t>
  </si>
  <si>
    <t>Tony Richardson</t>
  </si>
  <si>
    <t>Geoff Conway</t>
  </si>
  <si>
    <t>Jack Haslam</t>
  </si>
  <si>
    <t>Martin Baglow 2</t>
  </si>
  <si>
    <t>1992 p</t>
  </si>
  <si>
    <t>Chris Smith</t>
  </si>
  <si>
    <t>Maurice Smith</t>
  </si>
  <si>
    <t>Martin Baglow</t>
  </si>
  <si>
    <t>Alan Sloper 3</t>
  </si>
  <si>
    <t>1993 p</t>
  </si>
  <si>
    <t>Rod Butcher</t>
  </si>
  <si>
    <t>First in the North Only</t>
  </si>
  <si>
    <t>Second in the North Only</t>
  </si>
  <si>
    <t>Third in the North Only</t>
  </si>
  <si>
    <t>Leicester</t>
  </si>
  <si>
    <t>Mick Barnacle</t>
  </si>
  <si>
    <t>Roy Phillips</t>
  </si>
  <si>
    <t>C-Siders</t>
  </si>
  <si>
    <t>Sandy Sandberg 1</t>
  </si>
  <si>
    <t>Syd Fairs 1</t>
  </si>
  <si>
    <t>John Telford 1</t>
  </si>
  <si>
    <t>Stockport</t>
  </si>
  <si>
    <t>Steve Hall</t>
  </si>
  <si>
    <t>Sandy Sandberg</t>
  </si>
  <si>
    <t>Syd Fairs</t>
  </si>
  <si>
    <t>I Newman</t>
  </si>
  <si>
    <t>John Telford</t>
  </si>
  <si>
    <t>Tyne Tones</t>
  </si>
  <si>
    <t>River Buoys</t>
  </si>
  <si>
    <t>Alan Henderson</t>
  </si>
  <si>
    <t>Matt Peters</t>
  </si>
  <si>
    <t>Eddie Evans</t>
  </si>
  <si>
    <t>Sandy Sandberg 2</t>
  </si>
  <si>
    <t>L'Pool &amp; Gr' Manch'</t>
  </si>
  <si>
    <t>C' Siders</t>
  </si>
  <si>
    <t>Sound Connection</t>
  </si>
  <si>
    <t>Phil Bush</t>
  </si>
  <si>
    <t>Bill Noone</t>
  </si>
  <si>
    <t>John Bryant</t>
  </si>
  <si>
    <t>The Covernotes</t>
  </si>
  <si>
    <t>Simon Hilton</t>
  </si>
  <si>
    <t>Neil Sparkes</t>
  </si>
  <si>
    <t>Neil Lazenby</t>
  </si>
  <si>
    <t>Paul Tatton</t>
  </si>
  <si>
    <t>Mike Barnacle</t>
  </si>
  <si>
    <t>Geoff Plant</t>
  </si>
  <si>
    <t>Simon Doggett</t>
  </si>
  <si>
    <t xml:space="preserve"> Peter Tatham</t>
  </si>
  <si>
    <t>Second Opinion</t>
  </si>
  <si>
    <t>Gr Manch' &amp; Mold</t>
  </si>
  <si>
    <t>David King</t>
  </si>
  <si>
    <t>David Whittle</t>
  </si>
  <si>
    <t>Sign of the Times</t>
  </si>
  <si>
    <t>Graham Wilmott</t>
  </si>
  <si>
    <t>Malcolm Hodgson</t>
  </si>
  <si>
    <t>Home-Spun</t>
  </si>
  <si>
    <t>James Williams</t>
  </si>
  <si>
    <t>Edward Williams</t>
  </si>
  <si>
    <t>Nicholas Williams</t>
  </si>
  <si>
    <t>Brand X</t>
  </si>
  <si>
    <t>Classified</t>
  </si>
  <si>
    <t>Easy Street</t>
  </si>
  <si>
    <t>Bolton &amp; Sheffield</t>
  </si>
  <si>
    <t>Glen Mayoh</t>
  </si>
  <si>
    <t>Paul J Gidney</t>
  </si>
  <si>
    <t>Edmund Evans</t>
  </si>
  <si>
    <t>Soundcrew</t>
  </si>
  <si>
    <t>Savannah</t>
  </si>
  <si>
    <t>Windsor</t>
  </si>
  <si>
    <t>Geoff Click</t>
  </si>
  <si>
    <t>Rhapsody</t>
  </si>
  <si>
    <t>Retro</t>
  </si>
  <si>
    <t>Revelation</t>
  </si>
  <si>
    <t>Rough Cut</t>
  </si>
  <si>
    <t>Plymouth Sound</t>
  </si>
  <si>
    <t>Ebb Tide</t>
  </si>
  <si>
    <t>Terminal Four</t>
  </si>
  <si>
    <t>Almost Gentlemen</t>
  </si>
  <si>
    <t>Bon a Chord</t>
  </si>
  <si>
    <t>Cambridge Corpse Co</t>
  </si>
  <si>
    <t>QED</t>
  </si>
  <si>
    <t>Peter Kennedy 3</t>
  </si>
  <si>
    <t>Paul Cousins 7</t>
  </si>
  <si>
    <t>Terry Bryant 7</t>
  </si>
  <si>
    <t>2007 P</t>
  </si>
  <si>
    <t>Evolution</t>
  </si>
  <si>
    <t>Monkey Magic</t>
  </si>
  <si>
    <t>Qube</t>
  </si>
  <si>
    <t>Sheffield/Liverpool/Calder Valley</t>
  </si>
  <si>
    <t>Gordon Citrine</t>
  </si>
  <si>
    <t>Dave Whittle</t>
  </si>
  <si>
    <t>Db4</t>
  </si>
  <si>
    <t xml:space="preserve"> Peter Sayer</t>
  </si>
  <si>
    <t xml:space="preserve"> Chris Elliott</t>
  </si>
  <si>
    <t xml:space="preserve"> Rob Taylor</t>
  </si>
  <si>
    <t>Dave Hughes</t>
  </si>
  <si>
    <t>Windsor/Sussex Harmony/Cambridge</t>
  </si>
  <si>
    <t>Dave Elwood</t>
  </si>
  <si>
    <t>Geoff Wallen</t>
  </si>
  <si>
    <t>The Questionables</t>
  </si>
  <si>
    <t>Sussex/Bromley</t>
  </si>
  <si>
    <t>Tam Large</t>
  </si>
  <si>
    <t xml:space="preserve"> Robin Pond</t>
  </si>
  <si>
    <t>Telfordaires - Dale Kynaston</t>
  </si>
  <si>
    <t>Hallmark of Harmony - Andy Allen</t>
  </si>
  <si>
    <t>Tuxedo Junction - Rob Barber</t>
  </si>
  <si>
    <t>Red Rose Four</t>
  </si>
  <si>
    <t>Blue Stone Four</t>
  </si>
  <si>
    <t>Lot 4</t>
  </si>
  <si>
    <t>Chilternaires</t>
  </si>
  <si>
    <t>Concord</t>
  </si>
  <si>
    <t>Single Bob</t>
  </si>
  <si>
    <t>Forestaires</t>
  </si>
  <si>
    <t>Penthouse Four</t>
  </si>
  <si>
    <t>Checkmates</t>
  </si>
  <si>
    <t>Quartation</t>
  </si>
  <si>
    <t>Mersey Clippers</t>
  </si>
  <si>
    <t>John Caroline</t>
  </si>
  <si>
    <t>Ray Jamieson</t>
  </si>
  <si>
    <t>Stan Hoggs</t>
  </si>
  <si>
    <t>Bill Hine</t>
  </si>
  <si>
    <t>Alan Baker</t>
  </si>
  <si>
    <t>Sundown</t>
  </si>
  <si>
    <t>West London</t>
  </si>
  <si>
    <t>Colin Seager</t>
  </si>
  <si>
    <t>Bob Parker</t>
  </si>
  <si>
    <t>John Lucas</t>
  </si>
  <si>
    <t>Tom Digby</t>
  </si>
  <si>
    <t>Totonto</t>
  </si>
  <si>
    <t>I'll Be Seeing You</t>
  </si>
  <si>
    <t>South Rampart St Parade</t>
  </si>
  <si>
    <t>Toronto</t>
  </si>
  <si>
    <t>It's Impossible</t>
  </si>
  <si>
    <t>Yes Sir That's My Baby</t>
  </si>
  <si>
    <t>Drivin' Me Crazy</t>
  </si>
  <si>
    <t>Just A Cottage Small</t>
  </si>
  <si>
    <t>Darktown Strutters Ball</t>
  </si>
  <si>
    <t>Steppin' Out With My Baby</t>
  </si>
  <si>
    <t>Sussex Barbershop Singers - Tony Pelling</t>
  </si>
  <si>
    <t>Solent City - Bill Payne</t>
  </si>
  <si>
    <t>Anvil Chorus - Victor Wong</t>
  </si>
  <si>
    <t>Richard Ellis 1</t>
  </si>
  <si>
    <t>Terry Broom 1</t>
  </si>
  <si>
    <t>2000 P</t>
  </si>
  <si>
    <t>Simon Howell ?</t>
  </si>
  <si>
    <t>Chesham Buckaneers 2 / White Rose 1</t>
  </si>
  <si>
    <t>Solent City Chorus 1 / White Rose 2</t>
  </si>
  <si>
    <t>Cambridge Chord Co / Granite City</t>
  </si>
  <si>
    <t>Graham Pollard</t>
  </si>
  <si>
    <t xml:space="preserve">                                                                                                                                </t>
  </si>
  <si>
    <t>Terry Clarke</t>
  </si>
  <si>
    <t>Quorum</t>
  </si>
  <si>
    <t>Silver Lining</t>
  </si>
  <si>
    <t>Hemel Hempstead</t>
  </si>
  <si>
    <t>Richard May</t>
  </si>
  <si>
    <t>Henry Colver</t>
  </si>
  <si>
    <t>Good Vibrations</t>
  </si>
  <si>
    <t>Terry Phillips</t>
  </si>
  <si>
    <t>Route 16</t>
  </si>
  <si>
    <t>Jon Perry</t>
  </si>
  <si>
    <t>Seventh Heaven</t>
  </si>
  <si>
    <t>Guildford/W London</t>
  </si>
  <si>
    <t>Phil Jones</t>
  </si>
  <si>
    <t>Peter May</t>
  </si>
  <si>
    <t>Andrew Cox</t>
  </si>
  <si>
    <t>Fourth in the North Only</t>
  </si>
  <si>
    <t>Fifth in the North Only</t>
  </si>
  <si>
    <t>Sixth in the North Only</t>
  </si>
  <si>
    <t>The Prestones</t>
  </si>
  <si>
    <t>Soundswell</t>
  </si>
  <si>
    <t>John Young</t>
  </si>
  <si>
    <t>Leeds Bradford</t>
  </si>
  <si>
    <t>Preston/Gr Manch'</t>
  </si>
  <si>
    <t>Graham Johnstone</t>
  </si>
  <si>
    <t>Equal Partnership</t>
  </si>
  <si>
    <t>David Wood</t>
  </si>
  <si>
    <t>Nick Aiuto</t>
  </si>
  <si>
    <t>Derek Seldon</t>
  </si>
  <si>
    <t>Frank Marshall</t>
  </si>
  <si>
    <t>2001</t>
  </si>
  <si>
    <t>Matrix</t>
  </si>
  <si>
    <t>Keith Hamilton</t>
  </si>
  <si>
    <t>How Deep Is The Ocean</t>
  </si>
  <si>
    <t>Sweet Lorraine</t>
  </si>
  <si>
    <t>International</t>
  </si>
  <si>
    <t>Collegiate</t>
  </si>
  <si>
    <t>No No Nora</t>
  </si>
  <si>
    <t>What Kind Of Fool Am I ?</t>
  </si>
  <si>
    <t>Charlie Odum</t>
  </si>
  <si>
    <t>Ken Smith</t>
  </si>
  <si>
    <t>Fred Barnard</t>
  </si>
  <si>
    <t>Ray Preston</t>
  </si>
  <si>
    <t>Frank Higham</t>
  </si>
  <si>
    <t>Dave Smith</t>
  </si>
  <si>
    <t>Eric Gamlin</t>
  </si>
  <si>
    <t>Pete Chapman</t>
  </si>
  <si>
    <t>Staines</t>
  </si>
  <si>
    <t>Keith Northrop 4</t>
  </si>
  <si>
    <t>Matt Kitsell</t>
  </si>
  <si>
    <t>Paul Christodoulou</t>
  </si>
  <si>
    <t>Howard Petty</t>
  </si>
  <si>
    <t>Les Petty</t>
  </si>
  <si>
    <t>Ken Baron</t>
  </si>
  <si>
    <t>John Clarke 2</t>
  </si>
  <si>
    <t>Jack Haslam 1</t>
  </si>
  <si>
    <t>Jack Haslam 2</t>
  </si>
  <si>
    <t>Cambridge &amp; Potton</t>
  </si>
  <si>
    <t>Chorus Name &amp; MD</t>
  </si>
  <si>
    <t>Crawley 1  - Bob Walker</t>
  </si>
  <si>
    <t>Crawley 2  - Bob Walker</t>
  </si>
  <si>
    <t>Great Western 1 - Mike Charles</t>
  </si>
  <si>
    <t>Roker Peers 1 - Keith Murray</t>
  </si>
  <si>
    <t>Roker Peers 2 - Keith Murray</t>
  </si>
  <si>
    <t>Most Improved Chorus Award Calculation</t>
  </si>
  <si>
    <t>2011</t>
  </si>
  <si>
    <t>2005</t>
  </si>
  <si>
    <t>2006</t>
  </si>
  <si>
    <t>2007</t>
  </si>
  <si>
    <t>2008</t>
  </si>
  <si>
    <t>2009</t>
  </si>
  <si>
    <t>2010</t>
  </si>
  <si>
    <t>The Pilgrimaires</t>
  </si>
  <si>
    <t>Tees Valley</t>
  </si>
  <si>
    <t>Magna Carta</t>
  </si>
  <si>
    <t>Red Rose</t>
  </si>
  <si>
    <t>1st</t>
  </si>
  <si>
    <t>2nd</t>
  </si>
  <si>
    <t>3rd</t>
  </si>
  <si>
    <t>The Major Oak Chorus (Joe Knight) (35)</t>
  </si>
  <si>
    <t>The Downsmen</t>
  </si>
  <si>
    <t>Hereward Harmony</t>
  </si>
  <si>
    <t>The Major Oak Chorus</t>
  </si>
  <si>
    <t>Old Calculation</t>
  </si>
  <si>
    <t>Old</t>
  </si>
  <si>
    <t>New</t>
  </si>
  <si>
    <t>The Royal Harmonics (John Palmer) (42)</t>
  </si>
  <si>
    <t>The Big County Chorus (Hazel Jiggins) (18)</t>
  </si>
  <si>
    <t>The Red Rose Chorus (Paul Walters) (32)</t>
  </si>
  <si>
    <t>Newton Abbott</t>
  </si>
  <si>
    <t>The Kentones</t>
  </si>
  <si>
    <t>Southern Union</t>
  </si>
  <si>
    <t>P</t>
  </si>
  <si>
    <t>Crawley Chordsmen</t>
  </si>
  <si>
    <t>Harmony Union</t>
  </si>
  <si>
    <t>Harmony Exe</t>
  </si>
  <si>
    <t>The Riverside Chorus</t>
  </si>
  <si>
    <t>Mark Bloodworth</t>
  </si>
  <si>
    <t>Bob Good</t>
  </si>
  <si>
    <t>Malcolm Smalley</t>
  </si>
  <si>
    <t>Andy Collins</t>
  </si>
  <si>
    <t>Alex Medwell</t>
  </si>
  <si>
    <t>Clive Saunders</t>
  </si>
  <si>
    <t>Tony Mason</t>
  </si>
  <si>
    <t>John Winstanley</t>
  </si>
  <si>
    <t>Jimm Dennett</t>
  </si>
  <si>
    <t>Neville Roe</t>
  </si>
  <si>
    <t>Pete Deakins</t>
  </si>
  <si>
    <t>Richard Hartnell</t>
  </si>
  <si>
    <t>Richard Naylor</t>
  </si>
  <si>
    <t>Trevor Percival</t>
  </si>
  <si>
    <t>Keith Jones</t>
  </si>
  <si>
    <t>Peter Gasson</t>
  </si>
  <si>
    <t>John Clark</t>
  </si>
  <si>
    <t>Brian Hunt</t>
  </si>
  <si>
    <t>Martin Bunting</t>
  </si>
  <si>
    <t>Bob Ryall</t>
  </si>
  <si>
    <t>Bill Stephenson</t>
  </si>
  <si>
    <t>Phil Stables</t>
  </si>
  <si>
    <t>Steve Allen</t>
  </si>
  <si>
    <t>Blair Oliphant</t>
  </si>
  <si>
    <t>Chris Boulton</t>
  </si>
  <si>
    <t>Martin Long</t>
  </si>
  <si>
    <t>Paul Norman</t>
  </si>
  <si>
    <t>Nick Yates</t>
  </si>
  <si>
    <t>Benedict Birch</t>
  </si>
  <si>
    <t>Lawrence Friend</t>
  </si>
  <si>
    <t>Tony McKernon</t>
  </si>
  <si>
    <t>Ron Barclay</t>
  </si>
  <si>
    <t>Richie Maden</t>
  </si>
  <si>
    <t>Gerry Robinson</t>
  </si>
  <si>
    <t>Stephen Buxton</t>
  </si>
  <si>
    <t>Neil Barton</t>
  </si>
  <si>
    <t>Richard Noyce</t>
  </si>
  <si>
    <t>Peter Morris</t>
  </si>
  <si>
    <t>Bob Hargreaves</t>
  </si>
  <si>
    <t>Keith Gerrard</t>
  </si>
  <si>
    <t>Stephen Corr</t>
  </si>
  <si>
    <t>Big County Chorus - Hazel Jiggins</t>
  </si>
  <si>
    <t>Peers of Harmony - Susan Jones</t>
  </si>
  <si>
    <t>Western Approach - Richard Knight</t>
  </si>
  <si>
    <t>Solent City Chorus - Peter Mumford</t>
  </si>
  <si>
    <t>Northern Acchord - Les McGhee</t>
  </si>
  <si>
    <t>Harrogate Harmony - Dean Whitehouse</t>
  </si>
  <si>
    <t>Spirit of Harmony - Andy Salter</t>
  </si>
  <si>
    <t>Royal Harmonics - Pete Powell</t>
  </si>
  <si>
    <t xml:space="preserve">Southern Union - Pete Hills </t>
  </si>
  <si>
    <t>Red Rose Chorus - Phil Cuthbert</t>
  </si>
  <si>
    <t>Wight Harmony - Alan T Rowe</t>
  </si>
  <si>
    <t>Granite City - Colin Reid</t>
  </si>
  <si>
    <t>5 Ways - Chris Randall</t>
  </si>
  <si>
    <t>The Downsmen - Eileen Mason</t>
  </si>
  <si>
    <t>Kings of Hearts - Allan Hook</t>
  </si>
  <si>
    <t>Royal Harmonics - Bob Walker</t>
  </si>
  <si>
    <t>Bromley Kentones - Mike Corr</t>
  </si>
  <si>
    <t>Pierre do Prez</t>
  </si>
  <si>
    <t>Ralf Tongue</t>
  </si>
  <si>
    <t>Julian Gulliford</t>
  </si>
  <si>
    <t>Wally Marsden</t>
  </si>
  <si>
    <t>Bolton / Gr Manch'</t>
  </si>
  <si>
    <t>Chris Nuttall</t>
  </si>
  <si>
    <t>B'Mouth &amp; E Dorset</t>
  </si>
  <si>
    <t>Guildford / W London</t>
  </si>
  <si>
    <t>Sheffield'L'Pool/Leeds</t>
  </si>
  <si>
    <t>Brian Milbank</t>
  </si>
  <si>
    <t>E Mids</t>
  </si>
  <si>
    <t>Steve Kemp</t>
  </si>
  <si>
    <t>Guildford/W London/Portsmouth</t>
  </si>
  <si>
    <t>Andrew Burton</t>
  </si>
  <si>
    <t>Bolton/Mold</t>
  </si>
  <si>
    <t>Dale Kynastan</t>
  </si>
  <si>
    <t>Preston/Manch'</t>
  </si>
  <si>
    <t>Paul Tutton</t>
  </si>
  <si>
    <t>Leeds &amp; Brad/W Mids/Pot/Shef</t>
  </si>
  <si>
    <t>Gr Manch'/Preston</t>
  </si>
  <si>
    <t>Sheffield / Cambs</t>
  </si>
  <si>
    <t>Stewardt Hatch</t>
  </si>
  <si>
    <t>Barry Clinton</t>
  </si>
  <si>
    <t>Brian Sperry</t>
  </si>
  <si>
    <t>Andy Middleton</t>
  </si>
  <si>
    <t>Phil Cuthbert</t>
  </si>
  <si>
    <t>Selby / Calder Valley</t>
  </si>
  <si>
    <t>Ian Cutler</t>
  </si>
  <si>
    <t>Cliff Brown</t>
  </si>
  <si>
    <t>Frank Percival</t>
  </si>
  <si>
    <t>Dave Strachan</t>
  </si>
  <si>
    <t>Goodbye Tootsie Goodbye</t>
  </si>
  <si>
    <t>Sing Me That Song Once Again Dear</t>
  </si>
  <si>
    <t>Waiting For The Robert E Lee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</si>
  <si>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</si>
  <si>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</si>
  <si>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</si>
  <si>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</si>
  <si>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</si>
  <si>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</si>
  <si>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</si>
  <si>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</si>
  <si>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</si>
  <si>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</si>
  <si>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</si>
  <si>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</si>
  <si>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</si>
  <si>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</si>
  <si>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</si>
  <si>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East Anglia</t>
  </si>
  <si>
    <t>19th</t>
  </si>
  <si>
    <t>Chesham Buckaneers - John Wiggins</t>
  </si>
  <si>
    <t>Tyneside - Ron Bruce</t>
  </si>
  <si>
    <t>Rainy City Chorus 1</t>
  </si>
  <si>
    <t>Nick Howell</t>
  </si>
  <si>
    <t>Mike O'Neill</t>
  </si>
  <si>
    <t>Ken Meadows</t>
  </si>
  <si>
    <t>Spirit Fm</t>
  </si>
  <si>
    <t>Chris Brian</t>
  </si>
  <si>
    <t>John Clitheroe</t>
  </si>
  <si>
    <t>Les Whitworth</t>
  </si>
  <si>
    <t>Ken Wikinson</t>
  </si>
  <si>
    <t>Telford/Plymouth/Bristol</t>
  </si>
  <si>
    <t>The Royal Males</t>
  </si>
  <si>
    <t>Michael Webster</t>
  </si>
  <si>
    <t>James Dubois</t>
  </si>
  <si>
    <t>Richard Skilton</t>
  </si>
  <si>
    <t>Roger Wilkinson 3</t>
  </si>
  <si>
    <t>Alan Hill 4</t>
  </si>
  <si>
    <t>Brian Callaghan 3</t>
  </si>
  <si>
    <t>Rainy City Chorus - Neil Sparkes</t>
  </si>
  <si>
    <t>Great Western Chorus - Bernie Cureton</t>
  </si>
  <si>
    <t>Pilgrimaires - Jon Perry</t>
  </si>
  <si>
    <t>Big County Chorus - Neil Raynor</t>
  </si>
  <si>
    <t>X Treme</t>
  </si>
  <si>
    <t>Pete Dowling</t>
  </si>
  <si>
    <t>Capital Chorus - Julian Gulliford</t>
  </si>
  <si>
    <t>Kings of Hearts - Roger Chantrelle</t>
  </si>
  <si>
    <t>The Big County Chorus - Clive Landey</t>
  </si>
  <si>
    <t>Rainy City Chorus - Ted Ward</t>
  </si>
  <si>
    <t>Sound of Three Spires - bruce Worrall</t>
  </si>
  <si>
    <t>Peers of Harmony - Jean Sutton</t>
  </si>
  <si>
    <t>Vale Harmony - Molly Hilton</t>
  </si>
  <si>
    <t>Anvil Chorus - Richard Hartnell</t>
  </si>
  <si>
    <t>No's of awards</t>
  </si>
  <si>
    <t>No of times</t>
  </si>
  <si>
    <t>Total No'</t>
  </si>
  <si>
    <t>Competing</t>
  </si>
  <si>
    <t>Av' per</t>
  </si>
  <si>
    <t>they came 2nd</t>
  </si>
  <si>
    <t>they came 3rd</t>
  </si>
  <si>
    <t>Most Improved Chorus Award</t>
  </si>
  <si>
    <t>Coventry/Cam</t>
  </si>
  <si>
    <t>Frank Wilson</t>
  </si>
  <si>
    <t>C Fricker</t>
  </si>
  <si>
    <t>Denis Hann</t>
  </si>
  <si>
    <t>Cambs/Harpenden</t>
  </si>
  <si>
    <t>Tampa Florida</t>
  </si>
  <si>
    <t>Wonderful Day Medley</t>
  </si>
  <si>
    <t>Paul Irving</t>
  </si>
  <si>
    <t>Arthur Shannon</t>
  </si>
  <si>
    <t>Ron Bruce</t>
  </si>
  <si>
    <t>Neil Sparks</t>
  </si>
  <si>
    <t>Rod Buckingham</t>
  </si>
  <si>
    <t>Don Ede</t>
  </si>
  <si>
    <t>Ron Madden</t>
  </si>
  <si>
    <t>Arthur Dalton</t>
  </si>
  <si>
    <t>Bri Wainwright</t>
  </si>
  <si>
    <t>Gordon Willcocks</t>
  </si>
  <si>
    <t>Peter Soole</t>
  </si>
  <si>
    <t>Quartet Finals</t>
  </si>
  <si>
    <t>Quartet Semi Finals</t>
  </si>
  <si>
    <t>Brighton / Crawley</t>
  </si>
  <si>
    <t>Met A Four</t>
  </si>
  <si>
    <t>M.T. Brothers</t>
  </si>
  <si>
    <t>Sweden</t>
  </si>
  <si>
    <t>B Natural</t>
  </si>
  <si>
    <t>4th July</t>
  </si>
  <si>
    <t>Tony Hill</t>
  </si>
  <si>
    <t>City Slickers</t>
  </si>
  <si>
    <t>Ontario District</t>
  </si>
  <si>
    <t>The Dept of Health &amp; Social Harmony</t>
  </si>
  <si>
    <t>Mark Tedd</t>
  </si>
  <si>
    <t>Paul Barnett</t>
  </si>
  <si>
    <t>Elliot Lawrence</t>
  </si>
  <si>
    <t>Chirs Glover</t>
  </si>
  <si>
    <t>Graham Ness</t>
  </si>
  <si>
    <t>Calder Valley / E Mids</t>
  </si>
  <si>
    <t>Potton / Sawtry</t>
  </si>
  <si>
    <t>Hooked On Harmony</t>
  </si>
  <si>
    <t>The Quarterjacks</t>
  </si>
  <si>
    <t>Harmony Revival - Lesley Carson</t>
  </si>
  <si>
    <t>Jim McCann</t>
  </si>
  <si>
    <t>Nigel Middleton</t>
  </si>
  <si>
    <t>Milton Keynes/Don Amos</t>
  </si>
  <si>
    <t>Richard Fisher</t>
  </si>
  <si>
    <t>Leeds Bradford/Calder Valley</t>
  </si>
  <si>
    <t>Joe Dod</t>
  </si>
  <si>
    <t>Steven Smith</t>
  </si>
  <si>
    <t>Guy Dowling</t>
  </si>
  <si>
    <t>Richard Webb</t>
  </si>
  <si>
    <t>Daniel Course</t>
  </si>
  <si>
    <t>Dave Griffiths</t>
  </si>
  <si>
    <t>Andrew Vaughan</t>
  </si>
  <si>
    <t>Chris White</t>
  </si>
  <si>
    <t>Byfield</t>
  </si>
  <si>
    <t>Mark Tuckey</t>
  </si>
  <si>
    <t>Clive Adkins</t>
  </si>
  <si>
    <t>Jim Field</t>
  </si>
  <si>
    <t>Paul Harrison</t>
  </si>
  <si>
    <t>Roger Sutton</t>
  </si>
  <si>
    <t>James Harris</t>
  </si>
  <si>
    <t>Matt Bateman</t>
  </si>
  <si>
    <t>Phil Drage</t>
  </si>
  <si>
    <t>Rob Thomas</t>
  </si>
  <si>
    <t>Dyrck Lamble</t>
  </si>
  <si>
    <t>Alf Fischer</t>
  </si>
  <si>
    <t>Notts</t>
  </si>
  <si>
    <t>Mick Whyman</t>
  </si>
  <si>
    <t>Chris Whyman</t>
  </si>
  <si>
    <t>Rob Whyman</t>
  </si>
  <si>
    <t>Ron Morris</t>
  </si>
  <si>
    <t>Solent City/Windsor</t>
  </si>
  <si>
    <t>Tim Peters</t>
  </si>
  <si>
    <t>Peter Wickham</t>
  </si>
  <si>
    <t>Michael Zeffman</t>
  </si>
  <si>
    <t>Chris Higton</t>
  </si>
  <si>
    <t>Matt Akesson</t>
  </si>
  <si>
    <t>Nick Jones</t>
  </si>
  <si>
    <t>Jason Leonard</t>
  </si>
  <si>
    <t>Paul Connolly</t>
  </si>
  <si>
    <t>Rich Skilton</t>
  </si>
  <si>
    <t>Don Bodker</t>
  </si>
  <si>
    <t>John Dunning</t>
  </si>
  <si>
    <t>Norman Lilly</t>
  </si>
  <si>
    <t>John Bennett</t>
  </si>
  <si>
    <t>Dave Parkinson</t>
  </si>
  <si>
    <t>Marvyn Thomas</t>
  </si>
  <si>
    <t>2011 P</t>
  </si>
  <si>
    <t>The New Fernebergians</t>
  </si>
  <si>
    <t>Encore</t>
  </si>
  <si>
    <t>Discovery</t>
  </si>
  <si>
    <t>Just in Time</t>
  </si>
  <si>
    <t>The Grand Dads</t>
  </si>
  <si>
    <t>Star Shine</t>
  </si>
  <si>
    <t>Compass</t>
  </si>
  <si>
    <t>Getting On</t>
  </si>
  <si>
    <t>Graffiti</t>
  </si>
  <si>
    <t>Finest Kind</t>
  </si>
  <si>
    <t>Doubletake</t>
  </si>
  <si>
    <t>Chords of Steel</t>
  </si>
  <si>
    <t>Fish &amp; Chaps</t>
  </si>
  <si>
    <t>Reunion  =  5th</t>
  </si>
  <si>
    <t>IQ</t>
  </si>
  <si>
    <t>MC Squared</t>
  </si>
  <si>
    <t>Quarte Tones</t>
  </si>
  <si>
    <t>The Pantones</t>
  </si>
  <si>
    <t>Andy Hacker</t>
  </si>
  <si>
    <t>Julian Nichol</t>
  </si>
  <si>
    <t>Doubletake=40th</t>
  </si>
  <si>
    <t>The Business</t>
  </si>
  <si>
    <t>Park Street</t>
  </si>
  <si>
    <t>The Back Room Boys</t>
  </si>
  <si>
    <t>Unbreakable = 15th</t>
  </si>
  <si>
    <t>Bill Henderson</t>
  </si>
  <si>
    <t>Raymond Sansum</t>
  </si>
  <si>
    <t>Geoff Cummings</t>
  </si>
  <si>
    <t>John Hughes</t>
  </si>
  <si>
    <t>Chuck O'Dom</t>
  </si>
  <si>
    <t>Geoff Kemp</t>
  </si>
  <si>
    <t>The Royal Harmonics 2 - John Palmer</t>
  </si>
  <si>
    <t>Spirit of Harmony - Andy Salter / Timm Briggs</t>
  </si>
  <si>
    <t>Cambridge Chord Company - Bob Croft</t>
  </si>
  <si>
    <t>Thames Valley Chorus - Bill Payne</t>
  </si>
  <si>
    <t>The Kentones - Michael Corr</t>
  </si>
  <si>
    <t>Graham Willcocks</t>
  </si>
  <si>
    <t>Ian Wiseman</t>
  </si>
  <si>
    <t>Roger Williams</t>
  </si>
  <si>
    <t>1985</t>
  </si>
  <si>
    <t>Channel Four</t>
  </si>
  <si>
    <t>Mike Warner 1</t>
  </si>
  <si>
    <t>Roy Dawson 1</t>
  </si>
  <si>
    <t>Mike Taylor 1</t>
  </si>
  <si>
    <t>Tim Taylor 1</t>
  </si>
  <si>
    <t>Junction 33</t>
  </si>
  <si>
    <t>Sheffield</t>
  </si>
  <si>
    <t>Phil Bricknell</t>
  </si>
  <si>
    <t>Clive Hill</t>
  </si>
  <si>
    <t>Steve Holden</t>
  </si>
  <si>
    <t>Colin Maskrey</t>
  </si>
  <si>
    <t>1986</t>
  </si>
  <si>
    <t>Phil Bricknell 2</t>
  </si>
  <si>
    <t>Steve Holden 1</t>
  </si>
  <si>
    <t>The Delta Kings</t>
  </si>
  <si>
    <t>Pot'/Wantage/Saf wal'</t>
  </si>
  <si>
    <t>Jim Catt 1</t>
  </si>
  <si>
    <t>Bob Bridgeman</t>
  </si>
  <si>
    <t>Ian Russell</t>
  </si>
  <si>
    <t>Phil Watson</t>
  </si>
  <si>
    <t>Times Square</t>
  </si>
  <si>
    <t>Vaughan Dooley</t>
  </si>
  <si>
    <t>Tony Barnes</t>
  </si>
  <si>
    <t>Geoff Packwood</t>
  </si>
  <si>
    <t>Richard Curtiss</t>
  </si>
  <si>
    <t>1987</t>
  </si>
  <si>
    <t>Second Nature</t>
  </si>
  <si>
    <t>Gwent</t>
  </si>
  <si>
    <t>Ian James</t>
  </si>
  <si>
    <t>Henry Culver</t>
  </si>
  <si>
    <t>Roy Clark</t>
  </si>
  <si>
    <t>1980</t>
  </si>
  <si>
    <t>Par Four</t>
  </si>
  <si>
    <t>Neil Watkins</t>
  </si>
  <si>
    <t>First Impression</t>
  </si>
  <si>
    <t>L'pool &amp; Gwent</t>
  </si>
  <si>
    <t>Ian James 1</t>
  </si>
  <si>
    <t>Bernie Cureton 3</t>
  </si>
  <si>
    <t>1990</t>
  </si>
  <si>
    <t>Curtain Call</t>
  </si>
  <si>
    <t>West Midlands</t>
  </si>
  <si>
    <t>John Risborough</t>
  </si>
  <si>
    <t>Dale Kynaston 1</t>
  </si>
  <si>
    <t>Talk Of The Town</t>
  </si>
  <si>
    <t>Bolton</t>
  </si>
  <si>
    <t>David Tanner</t>
  </si>
  <si>
    <t>Paul Gidney</t>
  </si>
  <si>
    <t>Roy Dawson 2</t>
  </si>
  <si>
    <t>John Ward</t>
  </si>
  <si>
    <t>Ron Pike 2</t>
  </si>
  <si>
    <t>Paul Cousins 2</t>
  </si>
  <si>
    <t>Terry Bryant 2</t>
  </si>
  <si>
    <t>1991</t>
  </si>
  <si>
    <t>Spotlight</t>
  </si>
  <si>
    <t>2002 P</t>
  </si>
  <si>
    <t>Andy Foster 2</t>
  </si>
  <si>
    <t>2003 P</t>
  </si>
  <si>
    <t>Martin Baker 2</t>
  </si>
  <si>
    <t>Matt Peters 2</t>
  </si>
  <si>
    <t>Bernie Cureton 2</t>
  </si>
  <si>
    <t>Laurie Whittle 2</t>
  </si>
  <si>
    <t>Eddie Evans 2</t>
  </si>
  <si>
    <t>Worthingaires - Neil Watkins</t>
  </si>
  <si>
    <t>Talk of the Town</t>
  </si>
  <si>
    <t>Keith Northrop 3</t>
  </si>
  <si>
    <t>Quattro</t>
  </si>
  <si>
    <t>The Rivertones 1</t>
  </si>
  <si>
    <t>Chesham Bucaneers</t>
  </si>
  <si>
    <t>Wight Harmony</t>
  </si>
  <si>
    <t>White Horse Harmony 1</t>
  </si>
  <si>
    <t>Vale Harmony</t>
  </si>
  <si>
    <t>Surrey Fringe</t>
  </si>
  <si>
    <t>Shannon Express</t>
  </si>
  <si>
    <t>White Horse Harmony 2</t>
  </si>
  <si>
    <t>The Riverside Chorus 1</t>
  </si>
  <si>
    <t>Ambassador Chorus</t>
  </si>
  <si>
    <t>The Rivertones 2</t>
  </si>
  <si>
    <t>The Riverside Chorus 2</t>
  </si>
  <si>
    <t>Bradford B S Singers - (Chordbusters Inc)</t>
  </si>
  <si>
    <t>Cambridge Chord Co 1</t>
  </si>
  <si>
    <t>Wye Vale Chorus</t>
  </si>
  <si>
    <t>Chordbusters Inc</t>
  </si>
  <si>
    <t>Cambridge Chord Co 2</t>
  </si>
  <si>
    <t>Spirit Of Harmony</t>
  </si>
  <si>
    <t>Capital Chorus 1</t>
  </si>
  <si>
    <t>The Highwaymen</t>
  </si>
  <si>
    <t>Cambridge Chord Co 3</t>
  </si>
  <si>
    <t>Rainy City Chorus 2</t>
  </si>
  <si>
    <t>Capital Chorus 2</t>
  </si>
  <si>
    <t>Cambridge Chord Co 4</t>
  </si>
  <si>
    <t>The Telfordaires 1</t>
  </si>
  <si>
    <t>Cambridge Chord Co 5</t>
  </si>
  <si>
    <t>The Red Rose Chorus</t>
  </si>
  <si>
    <t>Sound Association</t>
  </si>
  <si>
    <t>Sound Of Three Spires</t>
  </si>
  <si>
    <t>Solent City Chorus 2</t>
  </si>
  <si>
    <t>The Rivertones</t>
  </si>
  <si>
    <t>Knights of Harmony (Chesham Buckaneers)</t>
  </si>
  <si>
    <t>Capital Chorus 4</t>
  </si>
  <si>
    <t>The Rivertones 3</t>
  </si>
  <si>
    <t>Harmony Lincs</t>
  </si>
  <si>
    <t>The Royal Harmonics</t>
  </si>
  <si>
    <t>Harbourmasters - East Dorset</t>
  </si>
  <si>
    <t>Westering - Bridgwater</t>
  </si>
  <si>
    <t>Jubilee City - Derby</t>
  </si>
  <si>
    <t>White Rose Singers, Leeds - Clive Landy</t>
  </si>
  <si>
    <t>Solent City - David Bache</t>
  </si>
  <si>
    <t>Nottingham Gateway - Malcolm Walters</t>
  </si>
  <si>
    <t>Shannon Express - Ian Russell</t>
  </si>
  <si>
    <t>Heart of England,Leicester - Mick Barnacle</t>
  </si>
  <si>
    <t>Anvil Chorus - West Midlands - Rod Butcher</t>
  </si>
  <si>
    <t>Thames Valley Chorus - Graham Lawrence</t>
  </si>
  <si>
    <t>Rainy City - John Batty</t>
  </si>
  <si>
    <t>Liverpool Chorus - Rhiannon Whittle</t>
  </si>
  <si>
    <t>The Pilgrimaires - Gordon Willcocks</t>
  </si>
  <si>
    <t>Harmony Drifters - Joe Bygroves</t>
  </si>
  <si>
    <t>White Rose Singers - Clive Landey</t>
  </si>
  <si>
    <t>Carshalton Concords - Ron Barfoot</t>
  </si>
  <si>
    <t>1983</t>
  </si>
  <si>
    <t>Mancunian Way</t>
  </si>
  <si>
    <t>Gr Manchester</t>
  </si>
  <si>
    <t>Graham Frost</t>
  </si>
  <si>
    <t>Bob Thompson</t>
  </si>
  <si>
    <t>John Kelly</t>
  </si>
  <si>
    <t>John Batty 2</t>
  </si>
  <si>
    <t>On Spec</t>
  </si>
  <si>
    <t>Preston &amp; Gr Manch'</t>
  </si>
  <si>
    <t>Richard Baker</t>
  </si>
  <si>
    <t>Matt Peters 3</t>
  </si>
  <si>
    <t>Barry Nowell 2</t>
  </si>
  <si>
    <t>Laurie Whittle 3</t>
  </si>
  <si>
    <t>Eddie Evans 3</t>
  </si>
  <si>
    <t>1984</t>
  </si>
  <si>
    <t>Steve Hall 3</t>
  </si>
  <si>
    <t>Keith Northrop 1</t>
  </si>
  <si>
    <t>Tom Percy 2</t>
  </si>
  <si>
    <t>Richard Baker 1</t>
  </si>
  <si>
    <t>Rogues Gallery</t>
  </si>
  <si>
    <t>Dick Coles 2</t>
  </si>
  <si>
    <t>Dave Heighway 2</t>
  </si>
  <si>
    <t>Ian Douglas 2</t>
  </si>
  <si>
    <t>Gilt Edge</t>
  </si>
  <si>
    <t>Plymouth</t>
  </si>
  <si>
    <t>Jack Bird</t>
  </si>
  <si>
    <t>Saffron Walden/Chelmsford</t>
  </si>
  <si>
    <t>Potton &amp; Saf' Walden</t>
  </si>
  <si>
    <t>John Green</t>
  </si>
  <si>
    <t>Andy Milner</t>
  </si>
  <si>
    <t>Geoff Clamp</t>
  </si>
  <si>
    <t>Tamarsiders 8th</t>
  </si>
  <si>
    <t>Peter Tinker</t>
  </si>
  <si>
    <t>Brian Drake</t>
  </si>
  <si>
    <t>Chelmsford Star Harmony - Martin Baker</t>
  </si>
  <si>
    <t>Surrey Fringe - Bob Dury</t>
  </si>
  <si>
    <t>Great Western Chorus, Bristol - Linda Corcoran</t>
  </si>
  <si>
    <t>Solent City Chorus - Mike Warner</t>
  </si>
  <si>
    <t>Sound of Three Spires - Michael Brough</t>
  </si>
  <si>
    <t>Saffron Sound - Mary Wood</t>
  </si>
  <si>
    <t>Anvil Chorus - Liz Garnett</t>
  </si>
  <si>
    <t>Royal Harmonics - Jeff Click</t>
  </si>
  <si>
    <t>Harmony Lincs - Tony Chapman</t>
  </si>
  <si>
    <t>Rolling Hills Chorus - Nick Hayes</t>
  </si>
  <si>
    <t>Pilgrimaires - Dave Thompson</t>
  </si>
  <si>
    <t>Ocean Harmony - Laurence Prestage</t>
  </si>
  <si>
    <t>Rivertones - Peter Gover</t>
  </si>
  <si>
    <t>Western Approach - Delyth Knight</t>
  </si>
  <si>
    <t>MK A Capella - Eddie Kidby</t>
  </si>
  <si>
    <t>Sussex Barbershop Singers - Julian Gulliford</t>
  </si>
  <si>
    <t>Kings of Hearts - Marie Claude Perreault</t>
  </si>
  <si>
    <t>Sound of Three Spires - Frank Salter</t>
  </si>
  <si>
    <t>Capital Chorus - Ray Garnett &amp; Aidan Brand</t>
  </si>
  <si>
    <t>Red Rose - Paul Walters</t>
  </si>
  <si>
    <t>Wight Harmony - Dave Bryant</t>
  </si>
  <si>
    <t>Hereward Harmony - Jeremy Curtis</t>
  </si>
  <si>
    <t>Chelmsford Star Harmony - Brian Ward</t>
  </si>
  <si>
    <t>Fine City Chorus - Mike Mitchell</t>
  </si>
  <si>
    <t>Vale Harmony - Eddie Howell</t>
  </si>
  <si>
    <t>5 Ways - Tony Keen</t>
  </si>
  <si>
    <t>Heart of England - Jim Pollock</t>
  </si>
  <si>
    <t>Tees Valley - Les McGhee</t>
  </si>
  <si>
    <t>Magna Carta - David Wood</t>
  </si>
  <si>
    <t>Surrey Fringe - Tim Peters</t>
  </si>
  <si>
    <t>Knights of Harmony - Trevor Crich</t>
  </si>
  <si>
    <t>Capital Chorus - Aidan Brand</t>
  </si>
  <si>
    <t>Solent City - Andrew Edgley &amp; Peter Mumford</t>
  </si>
  <si>
    <t>Sound Of Three Spires - Frank Salter</t>
  </si>
  <si>
    <t>Red Rose Chorus - Paul Walters</t>
  </si>
  <si>
    <t>Harmony Revival - Stanley Waters</t>
  </si>
  <si>
    <t>Fine City Chorus - Carol Logan</t>
  </si>
  <si>
    <t>Clwyd Clippers - Peter Turner</t>
  </si>
  <si>
    <t>Friends In Harmony - Christine Milner</t>
  </si>
  <si>
    <t>Exp</t>
  </si>
  <si>
    <t>Snd</t>
  </si>
  <si>
    <t>Sho</t>
  </si>
  <si>
    <t>Penalty</t>
  </si>
  <si>
    <t>Gr Manch'</t>
  </si>
  <si>
    <t>Phil Bricknell 1</t>
  </si>
  <si>
    <t>John Batty 1</t>
  </si>
  <si>
    <t>Tom Percy 1</t>
  </si>
  <si>
    <t>Steve Hall 1</t>
  </si>
  <si>
    <t>Kevin Pearce</t>
  </si>
  <si>
    <t>Mike Charles</t>
  </si>
  <si>
    <t>Barry Sims</t>
  </si>
  <si>
    <t>Pete Ogden</t>
  </si>
  <si>
    <t>Colin Carter 2</t>
  </si>
  <si>
    <t>1981</t>
  </si>
  <si>
    <t>Regency Pride</t>
  </si>
  <si>
    <t>Br'ton, Hove, Craw'</t>
  </si>
  <si>
    <t>Keith Pover</t>
  </si>
  <si>
    <t>Derek Barton 1</t>
  </si>
  <si>
    <t>Rod Butcher 2</t>
  </si>
  <si>
    <t>Dennis Hodgetts 2</t>
  </si>
  <si>
    <t>Michael Sides 2</t>
  </si>
  <si>
    <t>Savioure Faire</t>
  </si>
  <si>
    <t>Liverpool</t>
  </si>
  <si>
    <t>Matt Peters 1</t>
  </si>
  <si>
    <t>Bernie Cureton 1</t>
  </si>
  <si>
    <t>Laurie Whittle 1</t>
  </si>
  <si>
    <t>Eddie Evans 1</t>
  </si>
  <si>
    <t>1982</t>
  </si>
  <si>
    <t>Limited Company</t>
  </si>
  <si>
    <t>Leeds &amp; Gr Manch'</t>
  </si>
  <si>
    <t>Steve Hall 2</t>
  </si>
  <si>
    <t>Howard Myers</t>
  </si>
  <si>
    <t>Stuart Wineberg</t>
  </si>
  <si>
    <t>Clive Landy</t>
  </si>
  <si>
    <t>Dick Coles 1</t>
  </si>
  <si>
    <t>Dave Heighway 1</t>
  </si>
  <si>
    <t>Ian Douglas 1</t>
  </si>
  <si>
    <t>Spirit of Harmony 1 - Andy Salter</t>
  </si>
  <si>
    <t>Grand Central 3 - Rob Barber</t>
  </si>
  <si>
    <t>Great Western 5 - Linda Corcoran</t>
  </si>
  <si>
    <t>Great Western 7 - Linda Corcoran</t>
  </si>
  <si>
    <t>Royal Harmonics - John Palmer</t>
  </si>
  <si>
    <t>Spirit of Harmony 2 - Andy Salter</t>
  </si>
  <si>
    <t>Cotton Town 3 - Neil Firth</t>
  </si>
  <si>
    <t xml:space="preserve">Spirit of Harmony 3 - Andy Salter </t>
  </si>
  <si>
    <t>Grand National Chorus,L'Pool - Bernie Cureton</t>
  </si>
  <si>
    <t>Roker Peers - Keith Murray</t>
  </si>
  <si>
    <t>Heart Of England, Leics - Ian Phillips</t>
  </si>
  <si>
    <t>Sussex B S Singers</t>
  </si>
  <si>
    <t>5 Ways</t>
  </si>
  <si>
    <t>Sussex Barbershop Singers</t>
  </si>
  <si>
    <t>Anvil Chorus 2</t>
  </si>
  <si>
    <t>Telfordaires 5</t>
  </si>
  <si>
    <t>Ocean Harmony</t>
  </si>
  <si>
    <t>Cambridge Chord Co</t>
  </si>
  <si>
    <t>Solent City Chorus</t>
  </si>
  <si>
    <t>The Telfordaires</t>
  </si>
  <si>
    <t>Men of Gwent</t>
  </si>
  <si>
    <t>Worthingaires</t>
  </si>
  <si>
    <t>White Rose BS</t>
  </si>
  <si>
    <t>Rainy City Chorus</t>
  </si>
  <si>
    <t>Western Approach</t>
  </si>
  <si>
    <t>Cumulative results for the period</t>
  </si>
  <si>
    <t>Mike Warmers No 1</t>
  </si>
  <si>
    <t>Mike Warmers No 2</t>
  </si>
  <si>
    <t>Mike Warmers No3</t>
  </si>
  <si>
    <t>Why Don't You Fall In Love With Me/ Undecided Medley</t>
  </si>
  <si>
    <t>The Masquerade is Over (I'm Afraid).</t>
  </si>
  <si>
    <t>For Once In My Life</t>
  </si>
  <si>
    <t>Ain't That A Kick In The Head</t>
  </si>
  <si>
    <t>La Vegas</t>
  </si>
  <si>
    <t>Capital Chorus (Pippa Goodall) (24)</t>
  </si>
  <si>
    <t>(Current Yr less Prev' Yr / Prev' Yr) x 100</t>
  </si>
  <si>
    <t>Most Improved Quartet Award</t>
  </si>
  <si>
    <t>Twenty-third</t>
  </si>
  <si>
    <t>Twenty-fourth</t>
  </si>
  <si>
    <t>Twenty-fifth</t>
  </si>
  <si>
    <t>Twenty-sixth</t>
  </si>
  <si>
    <t>Twenty-seventh</t>
  </si>
  <si>
    <t>Twenty-eighth</t>
  </si>
  <si>
    <t>Twenty-ninth</t>
  </si>
  <si>
    <t>Chorus Competition Positions</t>
  </si>
  <si>
    <t>Mike Woods</t>
  </si>
  <si>
    <t>James Rowland</t>
  </si>
  <si>
    <t>David Pitts</t>
  </si>
  <si>
    <t>Alex Tay</t>
  </si>
  <si>
    <t>Jon Higgins</t>
  </si>
  <si>
    <t>Patrick Morgan</t>
  </si>
  <si>
    <t>Leo Doulton</t>
  </si>
  <si>
    <t>Sent to jb.johnbush@talktalk.net - 6/6/16</t>
  </si>
  <si>
    <t>Pat Gillespie</t>
  </si>
  <si>
    <t>Tony Edwards</t>
  </si>
  <si>
    <t>John Clithero</t>
  </si>
  <si>
    <t>Mike Watt</t>
  </si>
  <si>
    <t>Stuart Ridland</t>
  </si>
  <si>
    <t>A Sunday Kind Of Love</t>
  </si>
  <si>
    <t>Feeling Good</t>
  </si>
  <si>
    <t>Wouldn't It Be Lovely</t>
  </si>
  <si>
    <t>You Took Advantage Of Me</t>
  </si>
  <si>
    <t>2016 P</t>
  </si>
  <si>
    <t>Headquarters</t>
  </si>
  <si>
    <t>Ryan Jensen</t>
  </si>
  <si>
    <t>Kenneth Nillson</t>
  </si>
  <si>
    <t>Mic Drop</t>
  </si>
  <si>
    <t>Brian Fox</t>
  </si>
  <si>
    <t>Sean Egan</t>
  </si>
  <si>
    <t>Ehsaan Shivarani</t>
  </si>
  <si>
    <t>Conrad Godfrey</t>
  </si>
  <si>
    <t>Alex Moore</t>
  </si>
  <si>
    <t>Arun O'Sullivan</t>
  </si>
  <si>
    <t>Oliver Gidea</t>
  </si>
  <si>
    <t>Nova</t>
  </si>
  <si>
    <t>Tim Nuttall</t>
  </si>
  <si>
    <t>Greg Matthews</t>
  </si>
  <si>
    <t>Jonathan Beard</t>
  </si>
  <si>
    <t>Platform 1</t>
  </si>
  <si>
    <t>Cemetery Junction</t>
  </si>
  <si>
    <t>Michael Zefferman</t>
  </si>
  <si>
    <t>Wrekin Havoc</t>
  </si>
  <si>
    <t>Phil Smith</t>
  </si>
  <si>
    <t>Paul Turner</t>
  </si>
  <si>
    <t>Simon Degge</t>
  </si>
  <si>
    <t>Wavelength</t>
  </si>
  <si>
    <t>Jeremy Jacomet</t>
  </si>
  <si>
    <t>Joe Berry</t>
  </si>
  <si>
    <t>Timeless</t>
  </si>
  <si>
    <t>Borderline</t>
  </si>
  <si>
    <t>Joel Stephano</t>
  </si>
  <si>
    <t>Amir Bagheri</t>
  </si>
  <si>
    <t>Jon Leeper</t>
  </si>
  <si>
    <t>Thumbs Up</t>
  </si>
  <si>
    <t>Chris Tongue</t>
  </si>
  <si>
    <t>Gary Wells</t>
  </si>
  <si>
    <t>James Horsburgh</t>
  </si>
  <si>
    <t>Oakie Dokie</t>
  </si>
  <si>
    <t>Mike Paterson</t>
  </si>
  <si>
    <t>John Mason</t>
  </si>
  <si>
    <t>Shane Neville</t>
  </si>
  <si>
    <t>Diminished Fifth</t>
  </si>
  <si>
    <t>Abe Armitage</t>
  </si>
  <si>
    <t>Chris Holdridge</t>
  </si>
  <si>
    <t>Tom Hill</t>
  </si>
  <si>
    <t>Jakob Painter</t>
  </si>
  <si>
    <t>The Four Posters</t>
  </si>
  <si>
    <t>Chris Bromley</t>
  </si>
  <si>
    <t>Phil Gill</t>
  </si>
  <si>
    <t>Diversion</t>
  </si>
  <si>
    <t>Jens Vanhoof</t>
  </si>
  <si>
    <t>Waikikamukau</t>
  </si>
  <si>
    <t>Doug Munro</t>
  </si>
  <si>
    <t>Paul Kaiserman</t>
  </si>
  <si>
    <t>Paul Richmond</t>
  </si>
  <si>
    <t>Intersection</t>
  </si>
  <si>
    <t>Mick Hill</t>
  </si>
  <si>
    <t>Richard Fort</t>
  </si>
  <si>
    <t>David Poucher</t>
  </si>
  <si>
    <t>Cheers</t>
  </si>
  <si>
    <t>David Kitchenham</t>
  </si>
  <si>
    <t>Dave C Brown</t>
  </si>
  <si>
    <t>Benner, Benner Bari &amp; Tenor</t>
  </si>
  <si>
    <t>Damien Benner</t>
  </si>
  <si>
    <t>Matthew Benner</t>
  </si>
  <si>
    <t>The Codebreakers</t>
  </si>
  <si>
    <t>Chris Marchant</t>
  </si>
  <si>
    <t>James Boyle</t>
  </si>
  <si>
    <t>Darren Morgan</t>
  </si>
  <si>
    <t>Don Amos/Bolton/Bristol</t>
  </si>
  <si>
    <t>Don Amos/Bristol/Meantime</t>
  </si>
  <si>
    <t>Bolton/York/Don Amos</t>
  </si>
  <si>
    <t xml:space="preserve">Don Amos </t>
  </si>
  <si>
    <t>Don Amos / Bolton</t>
  </si>
  <si>
    <t>Don Amod/Reading/Bromley</t>
  </si>
  <si>
    <t>Sheffield/Don Amos/Notts</t>
  </si>
  <si>
    <t>Bristol/ Tuxedo</t>
  </si>
  <si>
    <t>Bristol/Don Amos</t>
  </si>
  <si>
    <t>Don Amos/Bronley</t>
  </si>
  <si>
    <t>Leeds &amp; Bradford/York</t>
  </si>
  <si>
    <t>Southampton/Don Amos</t>
  </si>
  <si>
    <t>Vocal Fusion</t>
  </si>
  <si>
    <t>Three Spires Harmony /The Sound Of Three Spires</t>
  </si>
  <si>
    <t>Thames Valley Chorus 1</t>
  </si>
  <si>
    <t>Thames Valley Chorus 2</t>
  </si>
  <si>
    <t>Telfordaires 3</t>
  </si>
  <si>
    <t>Telfordaires 2</t>
  </si>
  <si>
    <t>Telfordaires 4</t>
  </si>
  <si>
    <t>Telfordaires 1</t>
  </si>
  <si>
    <t>Ian James 5</t>
  </si>
  <si>
    <t>Stuart Owen 4</t>
  </si>
  <si>
    <t>Steve Emery 3</t>
  </si>
  <si>
    <t>Richard Fisher 1</t>
  </si>
  <si>
    <t>Richard Fisher 2</t>
  </si>
  <si>
    <t>The Need for Swede</t>
  </si>
  <si>
    <t>Cotton Town 6 - Neil Firth</t>
  </si>
  <si>
    <t>Hallmark of Harmony 4 - Tim Briggs</t>
  </si>
  <si>
    <t>Hallmark of Harmony  3 - Andy Allen</t>
  </si>
  <si>
    <t>Grand Central 4 - Zac Booles</t>
  </si>
  <si>
    <t>Royal Harmonics - John Palmer &amp; Sean Bui</t>
  </si>
  <si>
    <t>Cambridge Chord Company - Simon Hilton</t>
  </si>
  <si>
    <t>Mantunian Way - Seb Marshall</t>
  </si>
  <si>
    <t>Thames Valley Chorus - Liz Croft</t>
  </si>
  <si>
    <t>Fine City Chorus - Carol Logan  =20th</t>
  </si>
  <si>
    <t>Wight Harmony - Dave Bryant   = 20th</t>
  </si>
  <si>
    <t>Essex Chordsman - Martin Bunting</t>
  </si>
  <si>
    <t>Vocal Fusion - Zoe Peate</t>
  </si>
  <si>
    <t>The Wite Rose Chorus - Hazel Jiggins   = 25th</t>
  </si>
  <si>
    <t>Three Spires Harmony - Andrew Kneeshore = 25th</t>
  </si>
  <si>
    <t>Ouse Valley - Paul Clay</t>
  </si>
  <si>
    <t>Harmony Revival - Jack Haslam</t>
  </si>
  <si>
    <t>The Pilgrimmaires - Delyth Knight</t>
  </si>
  <si>
    <t>The Rolling Hills Chorus</t>
  </si>
  <si>
    <t>Three Spires Harmony</t>
  </si>
  <si>
    <t>MK Acapella</t>
  </si>
  <si>
    <t>The Pilgrimmaires</t>
  </si>
  <si>
    <t>Oxford Harmony</t>
  </si>
  <si>
    <t>Northern Acchord</t>
  </si>
  <si>
    <t>Division 2</t>
  </si>
  <si>
    <t>Division 3</t>
  </si>
  <si>
    <t>Division 4</t>
  </si>
  <si>
    <t>2015 / 2016</t>
  </si>
  <si>
    <t>Clywd Clippers</t>
  </si>
  <si>
    <t>The Sussex Harmonisers</t>
  </si>
  <si>
    <t>2014 / 2015</t>
  </si>
  <si>
    <t>CHORUS DIVISIONS</t>
  </si>
  <si>
    <t>Cambridge Chord Co 6</t>
  </si>
  <si>
    <t>Anvil</t>
  </si>
  <si>
    <t>Western</t>
  </si>
  <si>
    <t>Tuxedo Junction 5</t>
  </si>
  <si>
    <t>Wight Harmony 2</t>
  </si>
  <si>
    <t>White Rose 2</t>
  </si>
  <si>
    <t>Royal Harmonics 5</t>
  </si>
  <si>
    <t>Western Approach 1</t>
  </si>
  <si>
    <t>Western Approach 2</t>
  </si>
  <si>
    <t>Capital Chorus 3</t>
  </si>
  <si>
    <t>Red Rose Chorus 1</t>
  </si>
  <si>
    <t>Red Rose Chorus 2 / Capital Chorus 3</t>
  </si>
  <si>
    <t>Brian Schofield 6</t>
  </si>
  <si>
    <t>Andy Walker 3</t>
  </si>
  <si>
    <t>Kenneth Nilsson</t>
  </si>
  <si>
    <t>Sound Hypothesis</t>
  </si>
  <si>
    <t>Hallmark of Harmony 8 - Tim Briggs &amp; Peter Bryant</t>
  </si>
  <si>
    <t>Grand Central 5 - Kevan Liebling &amp; Zac Booles</t>
  </si>
  <si>
    <t>Grand Central 6 - Zac Booles</t>
  </si>
  <si>
    <t>Great Western 9 - Linda Corcoran</t>
  </si>
  <si>
    <t>Great Western 10 - Linda Corcoran</t>
  </si>
  <si>
    <t>Royal Harmonics - Sean Bui</t>
  </si>
  <si>
    <t>Meantime - Simon Arnott</t>
  </si>
  <si>
    <t>Tuxedo Junction - Simon Lubowski &amp; Jake Waghorn</t>
  </si>
  <si>
    <t>The Major Oak Chorus - Joe Knight &amp; Johnny Beeden</t>
  </si>
  <si>
    <t>Shannon Express - Rae Miller</t>
  </si>
  <si>
    <t>Mantunian Way - Oliver Gildea &amp; Richard Platt</t>
  </si>
  <si>
    <t>The Sussex Harmonisers - Mark Grindall</t>
  </si>
  <si>
    <t>Southern Union - Tim Nuttall</t>
  </si>
  <si>
    <t>Ocean Harmony - Paul Keeping</t>
  </si>
  <si>
    <t>Harmony Revival - Jack Haslam &amp; Jon Dawson</t>
  </si>
  <si>
    <t>The VIPs - Peter Chapman</t>
  </si>
  <si>
    <t>Kings of Hearts - Richard Miller</t>
  </si>
  <si>
    <t>Derby A Capella - Martin Thorne</t>
  </si>
  <si>
    <t>Essex Chordsmen - Martin Bunting</t>
  </si>
  <si>
    <t>Ocean City Sound - Tom Knight</t>
  </si>
  <si>
    <t>The Downsmen - Miguel Fernandes</t>
  </si>
  <si>
    <t>Heart of England Chorus - Ian Phillips</t>
  </si>
  <si>
    <t>East Kent Chorus - Lindley Gram</t>
  </si>
  <si>
    <t>Meantime</t>
  </si>
  <si>
    <t>Thames Valley Chorus (Rhiannon Owens-Hall) (62)</t>
  </si>
  <si>
    <t>Ocean City Sound</t>
  </si>
  <si>
    <t>I've Got No Strings</t>
  </si>
  <si>
    <t>Quarter Finals</t>
  </si>
  <si>
    <t>Semi Finals</t>
  </si>
  <si>
    <t>Yes I Can</t>
  </si>
  <si>
    <t>Sunday Kind Of Love</t>
  </si>
  <si>
    <t>The Best Things Happen While You're Dancing</t>
  </si>
  <si>
    <t>If You Love Me, Really Love Me</t>
  </si>
  <si>
    <t>Come Follow The Band</t>
  </si>
  <si>
    <t>I Can't Give You Anything But Love</t>
  </si>
  <si>
    <t>She's Out Of My Life</t>
  </si>
  <si>
    <t>Most Improved Quartet Award Calculation</t>
  </si>
  <si>
    <t>Cambridge Chord</t>
  </si>
  <si>
    <t>Sussex Harmonisers</t>
  </si>
  <si>
    <t>The Red Rose Chorus 1</t>
  </si>
  <si>
    <t>Red Rose Chorus 2</t>
  </si>
  <si>
    <t>Capital Chorus (Mike warmers) 1</t>
  </si>
  <si>
    <t>HeadQuarters</t>
  </si>
  <si>
    <t>Incline</t>
  </si>
  <si>
    <t>Cemetary Junction</t>
  </si>
  <si>
    <t>Diminished</t>
  </si>
  <si>
    <t>Benner Benner Bari and Tenor</t>
  </si>
  <si>
    <t xml:space="preserve">Convention </t>
  </si>
  <si>
    <t>2017 P</t>
  </si>
  <si>
    <t>Fifth Element</t>
  </si>
  <si>
    <t>Ryan Jenson</t>
  </si>
  <si>
    <t>Arran Bayliss-Chalmers</t>
  </si>
  <si>
    <t>Trigger's Broom</t>
  </si>
  <si>
    <t>Sheff'/Tuxedo/E Mids</t>
  </si>
  <si>
    <t>Sheff'/Vale of York/Don Amos</t>
  </si>
  <si>
    <t>Fling</t>
  </si>
  <si>
    <t>Andrew Bird</t>
  </si>
  <si>
    <t>Nathaniel Estrade</t>
  </si>
  <si>
    <t>Luke Stevenson</t>
  </si>
  <si>
    <t>Deadlock</t>
  </si>
  <si>
    <t>Joel;Stephano</t>
  </si>
  <si>
    <t>Jonathan Stevenson</t>
  </si>
  <si>
    <t>Don Amos/Reading/Bromley</t>
  </si>
  <si>
    <t>Poacher's Relish</t>
  </si>
  <si>
    <t>Bret Roberts</t>
  </si>
  <si>
    <t>Chris Shepherd</t>
  </si>
  <si>
    <t>Kerfuffle</t>
  </si>
  <si>
    <t>Hugh Parker</t>
  </si>
  <si>
    <t>Geoff Stockham</t>
  </si>
  <si>
    <t>Buzzword</t>
  </si>
  <si>
    <t>Matthew Potter</t>
  </si>
  <si>
    <t>Elliot Smith</t>
  </si>
  <si>
    <t>Tom Payne</t>
  </si>
  <si>
    <t>Josh Ellingford</t>
  </si>
  <si>
    <t>Suits You Sir</t>
  </si>
  <si>
    <t>Jason Pole</t>
  </si>
  <si>
    <t>Chris Leach</t>
  </si>
  <si>
    <t>Harbour Lights</t>
  </si>
  <si>
    <t>James Taverner</t>
  </si>
  <si>
    <t>Tom Griffin</t>
  </si>
  <si>
    <t>Oli Woodhouse</t>
  </si>
  <si>
    <t>Southern Electric</t>
  </si>
  <si>
    <t>Mark Robinson</t>
  </si>
  <si>
    <t>Paul Bullock</t>
  </si>
  <si>
    <t>Allan Scott</t>
  </si>
  <si>
    <t>Central Locking</t>
  </si>
  <si>
    <t>Bryan Smith</t>
  </si>
  <si>
    <t>Mike Flint</t>
  </si>
  <si>
    <t>Nelson Blackely</t>
  </si>
  <si>
    <t>Bill Lumley</t>
  </si>
  <si>
    <t>Roy Haywood</t>
  </si>
  <si>
    <t>Two Plus Two</t>
  </si>
  <si>
    <t>Andy Vaughan</t>
  </si>
  <si>
    <t>Ron Moore</t>
  </si>
  <si>
    <t>York/Sheffield/E Mids</t>
  </si>
  <si>
    <t>Sound Hypthesis</t>
  </si>
  <si>
    <t>Joint 4th</t>
  </si>
  <si>
    <t>Joint 5th</t>
  </si>
  <si>
    <t>Joint 6th</t>
  </si>
  <si>
    <t>Joint 7th</t>
  </si>
  <si>
    <t>Joint 8th</t>
  </si>
  <si>
    <t>Joint 9th</t>
  </si>
  <si>
    <t>Placing</t>
  </si>
  <si>
    <t>Most Improved Quartet Award - Ranking</t>
  </si>
  <si>
    <t>The Major Oak Choru</t>
  </si>
  <si>
    <t>Derby A Capella</t>
  </si>
  <si>
    <t>Heart of England Chorus</t>
  </si>
  <si>
    <t>2016 / 2017</t>
  </si>
  <si>
    <t>Other Choruses</t>
  </si>
  <si>
    <t>Cotton Town 7 - Neil Firth</t>
  </si>
  <si>
    <t>Grand Central 5 - Zac Booles</t>
  </si>
  <si>
    <t>Mantunian Way - Matthew Thomas</t>
  </si>
  <si>
    <t>Tuxedo Junction - Simon Lubowski</t>
  </si>
  <si>
    <t>The Major Oak Chorus - Andy Salter</t>
  </si>
  <si>
    <t>The Rolling Hills Chorus - Rosalind Johnson</t>
  </si>
  <si>
    <t>Knights Of Harmony - Sean Bui</t>
  </si>
  <si>
    <t>5 Ways - Shanna Wells</t>
  </si>
  <si>
    <t>The Kentones - Ryan Jenson</t>
  </si>
  <si>
    <t>The Telfordaires - Liz Garnett = 20th</t>
  </si>
  <si>
    <t>Harmony Lincs - Alan Goldsmith</t>
  </si>
  <si>
    <t>Vale Harmony - Mike Gearey</t>
  </si>
  <si>
    <t>Heart of England Chorus - Sarah Woodall</t>
  </si>
  <si>
    <t>2017 / 2018</t>
  </si>
  <si>
    <t>When The Gold Turns To Grey</t>
  </si>
  <si>
    <t>Walkin' My Baby Back Home</t>
  </si>
  <si>
    <t>May I Never Love Again</t>
  </si>
  <si>
    <t>Old Cape Cod</t>
  </si>
  <si>
    <t>If I Loved You</t>
  </si>
  <si>
    <t>What'll I Do</t>
  </si>
  <si>
    <t>Bristol/W Mids/Bromley/Stockport</t>
  </si>
  <si>
    <t>Don Amos/Windsor/Meantime/Cambridge</t>
  </si>
  <si>
    <t>Don Amos/Meantime</t>
  </si>
  <si>
    <t>York/Sheffield</t>
  </si>
  <si>
    <t>Meantime/MUBS/Sheffield</t>
  </si>
  <si>
    <t>Bristol/Don Amos/Reading</t>
  </si>
  <si>
    <t>Don Amos/Reading/Cambs</t>
  </si>
  <si>
    <t>Edinburgh/Don Amos/Aberdeen</t>
  </si>
  <si>
    <t>Aberdeen/Edinburgh/Bristol</t>
  </si>
  <si>
    <t>Telford/Bolton</t>
  </si>
  <si>
    <t>Meantime/MUBS/SheffieldManchester Uni'</t>
  </si>
  <si>
    <t>Edinburgh/Aberdeen</t>
  </si>
  <si>
    <t>She's Gat A Way</t>
  </si>
  <si>
    <t>Tell Her About It</t>
  </si>
  <si>
    <t>The Curtain Falls</t>
  </si>
  <si>
    <t>Pos</t>
  </si>
  <si>
    <t>No</t>
  </si>
  <si>
    <t>From 2015 only choruses with no more than 25 singers excluding the CD are eligible</t>
  </si>
  <si>
    <t>Mantunian Way 3</t>
  </si>
  <si>
    <t>Vocal Fusion 2</t>
  </si>
  <si>
    <t>Vocal Fusion 1</t>
  </si>
  <si>
    <t>Sent to Terry Barton and Barry Sims  - 20/9/18</t>
  </si>
  <si>
    <t>Martin Smith</t>
  </si>
  <si>
    <t>Nth Surrey</t>
  </si>
  <si>
    <t>Coventry &amp; Tuxedo</t>
  </si>
  <si>
    <t>Don Amos/Sussex Harmoniser/Vocal Fusion</t>
  </si>
  <si>
    <t>Don Amos/Sussex Harmonisers/Vocal Fusion</t>
  </si>
  <si>
    <t>MIDA's Touch</t>
  </si>
  <si>
    <t>Tux/Don Amos/Birmingham</t>
  </si>
  <si>
    <t>Don Amos / Tuxedo</t>
  </si>
  <si>
    <t>Potton / Don Amos</t>
  </si>
  <si>
    <t>SheffieldYork/Don Amos</t>
  </si>
  <si>
    <t>York.Sheffield.E Mids</t>
  </si>
  <si>
    <t>Don Amos.Meantime</t>
  </si>
  <si>
    <t>Milton Keynes.Sheffield</t>
  </si>
  <si>
    <t>Calder Valley &amp; Bolton</t>
  </si>
  <si>
    <t>Bolton,Telford,W Mids</t>
  </si>
  <si>
    <t>Sheff,L'poolCalder Valley</t>
  </si>
  <si>
    <t>Windsor/Sussex Harmony/Cambs</t>
  </si>
  <si>
    <t>Cambridge/Windsor</t>
  </si>
  <si>
    <t>Pottton,Ouse Valley,Cambs</t>
  </si>
  <si>
    <t>Total number of choruses awarded medals.</t>
  </si>
  <si>
    <t>No' of competitions :-</t>
  </si>
  <si>
    <t>2018 P</t>
  </si>
  <si>
    <t>Innocent Murmers</t>
  </si>
  <si>
    <t>Daniel Foran</t>
  </si>
  <si>
    <t>Michael Vanner</t>
  </si>
  <si>
    <t>Dominic Lagrue</t>
  </si>
  <si>
    <t>Michael Du</t>
  </si>
  <si>
    <t>Orange Juice</t>
  </si>
  <si>
    <t>Jack Laird</t>
  </si>
  <si>
    <t>Alistair Lamyman</t>
  </si>
  <si>
    <t>Jack Bridges</t>
  </si>
  <si>
    <t>Matthew Ottoway</t>
  </si>
  <si>
    <t>One Foot In The Stave</t>
  </si>
  <si>
    <t>Don Amos / W Mids</t>
  </si>
  <si>
    <t>Hullabaloo</t>
  </si>
  <si>
    <t>Windsor / Vocal Fusion</t>
  </si>
  <si>
    <t>Reading / Farnham</t>
  </si>
  <si>
    <t>Ed Deacon</t>
  </si>
  <si>
    <t>Clive Pugh</t>
  </si>
  <si>
    <t>Phil Paine</t>
  </si>
  <si>
    <t>Quaynote</t>
  </si>
  <si>
    <t>IOW</t>
  </si>
  <si>
    <t>Chromatix</t>
  </si>
  <si>
    <t>Jacob Carter</t>
  </si>
  <si>
    <t>David Nuttall</t>
  </si>
  <si>
    <t>Royal Standard</t>
  </si>
  <si>
    <t>Sean Bui</t>
  </si>
  <si>
    <t>Silver Street</t>
  </si>
  <si>
    <t>Will O'Reilly</t>
  </si>
  <si>
    <t>Jonathan Goldstone</t>
  </si>
  <si>
    <t>Joel Nulsen</t>
  </si>
  <si>
    <t>Bowen Wang</t>
  </si>
  <si>
    <t>Rendition</t>
  </si>
  <si>
    <t>Nate Estrada</t>
  </si>
  <si>
    <t>Samuel Swimmerton-Woolf</t>
  </si>
  <si>
    <t>The Eclectic Quartet</t>
  </si>
  <si>
    <t>Gareth Davies</t>
  </si>
  <si>
    <t>Nick Brynt</t>
  </si>
  <si>
    <t>Inferno</t>
  </si>
  <si>
    <t>Quartessential</t>
  </si>
  <si>
    <t>Andy Sonden</t>
  </si>
  <si>
    <t>The San Nova Beach Club</t>
  </si>
  <si>
    <t>Gabe Oliver</t>
  </si>
  <si>
    <t>4 on Parade</t>
  </si>
  <si>
    <t>Soundbox</t>
  </si>
  <si>
    <t>Samuel Swinnerton</t>
  </si>
  <si>
    <t>Matthew Barnbrook</t>
  </si>
  <si>
    <t>W London/ Windsor</t>
  </si>
  <si>
    <t>Lockluster</t>
  </si>
  <si>
    <t>Donald Linegar</t>
  </si>
  <si>
    <t>Simon Lubowski</t>
  </si>
  <si>
    <t>Joe Nelson</t>
  </si>
  <si>
    <t>Innocent Murmurs</t>
  </si>
  <si>
    <t>4K</t>
  </si>
  <si>
    <t>Zipwire</t>
  </si>
  <si>
    <t>Francis Grasso</t>
  </si>
  <si>
    <t>Julian Roberts</t>
  </si>
  <si>
    <t>Highwaymen</t>
  </si>
  <si>
    <t>Nigel A Smith</t>
  </si>
  <si>
    <t>Gavin Bolderrow</t>
  </si>
  <si>
    <t>West London / Cambs</t>
  </si>
  <si>
    <t>Just 4 Now</t>
  </si>
  <si>
    <t>Nelson Blackley</t>
  </si>
  <si>
    <t>Andrew Motson</t>
  </si>
  <si>
    <t>Gareth Pinney</t>
  </si>
  <si>
    <t>Meantime / Bristol</t>
  </si>
  <si>
    <t>B'mouth &amp; Don Amos</t>
  </si>
  <si>
    <t>Windsor/Bolton/Don Amos</t>
  </si>
  <si>
    <t>E &amp; W Mids, Tux, York</t>
  </si>
  <si>
    <t>York, Windsor, Don Amos</t>
  </si>
  <si>
    <t xml:space="preserve">Sheffield, Reading, </t>
  </si>
  <si>
    <t>Tuxedo, Coventry</t>
  </si>
  <si>
    <t>Vale of York, Notts</t>
  </si>
  <si>
    <t>Reading, Cambs, Don Amos</t>
  </si>
  <si>
    <t xml:space="preserve">E Mids </t>
  </si>
  <si>
    <t xml:space="preserve">Southampton </t>
  </si>
  <si>
    <t>Now called - Next Generation Varsity</t>
  </si>
  <si>
    <t>Then called - Harmony Foundation Youth</t>
  </si>
  <si>
    <t>Barbershop Quartet Contest</t>
  </si>
  <si>
    <t>For All We Know</t>
  </si>
  <si>
    <t>Recipe For Love</t>
  </si>
  <si>
    <t>The Way You Look Tonight</t>
  </si>
  <si>
    <t>You're From Heaven And You're Mine</t>
  </si>
  <si>
    <t>Triggers Broom</t>
  </si>
  <si>
    <t>Love Me</t>
  </si>
  <si>
    <t>4 On Parade</t>
  </si>
  <si>
    <t>Quaynote Vectis / Quaynote</t>
  </si>
  <si>
    <t>Poachers Relish</t>
  </si>
  <si>
    <t>Clwyd Clippers</t>
  </si>
  <si>
    <t>Division 1</t>
  </si>
  <si>
    <t>Essrx Chordsmen</t>
  </si>
  <si>
    <t>Most Improved Chorus Award - Ranking</t>
  </si>
  <si>
    <t>Voval Academy</t>
  </si>
  <si>
    <t>Heart Of England</t>
  </si>
  <si>
    <t>Sound of Three Spires</t>
  </si>
  <si>
    <t>The Red Rose Choorus</t>
  </si>
  <si>
    <t>Major Oak 1</t>
  </si>
  <si>
    <t>Joint 11th</t>
  </si>
  <si>
    <t>Major Oak 2</t>
  </si>
  <si>
    <t>Harmony Lincs 1</t>
  </si>
  <si>
    <t>Harmony Lincs 2</t>
  </si>
  <si>
    <t>Joint 3rd</t>
  </si>
  <si>
    <t>Joint 12th</t>
  </si>
  <si>
    <t>Joint 13th</t>
  </si>
  <si>
    <t>Hallmark of Harmony 8 - Tim Briggs</t>
  </si>
  <si>
    <t>Hallmark of Harmony 7-Alan Hughes,Ben Ferguson,Andy Allen</t>
  </si>
  <si>
    <t>Thames Valley Chorus 5 - Rhiannon Owens Hall,Steve Hall</t>
  </si>
  <si>
    <t>Meantime Chorus - Simon Arnott</t>
  </si>
  <si>
    <t>Great Western Choris 6 - Linda Corcoran</t>
  </si>
  <si>
    <t>in 2019</t>
  </si>
  <si>
    <t>Ocean Harmony - Paula Taylor-Williams</t>
  </si>
  <si>
    <t>The Sussex Harmonisers - Mark Grindall = 14th</t>
  </si>
  <si>
    <t>Shannon Express - Cliff Rowe</t>
  </si>
  <si>
    <t>Three Spires Harmony - April Stevens</t>
  </si>
  <si>
    <t>Sound Company - Tim Peters</t>
  </si>
  <si>
    <t>Solent City Chorus - Steve Morris</t>
  </si>
  <si>
    <t>The Humber Harmony Chorus - Jack Bridges</t>
  </si>
  <si>
    <t>Ocean City Sound - Bethany Lowe</t>
  </si>
  <si>
    <t>Essex Chordsmen - Miles D'Cruz</t>
  </si>
  <si>
    <t>Kings of Hearts - Richard Millar</t>
  </si>
  <si>
    <t>2018 / 2019</t>
  </si>
  <si>
    <t>Ali Hay-Plumb</t>
  </si>
  <si>
    <t>Samuel Woolf</t>
  </si>
  <si>
    <t>Suits You Sir = 14th</t>
  </si>
  <si>
    <t>Kerfuffle = 14th</t>
  </si>
  <si>
    <t>The Little Boy</t>
  </si>
  <si>
    <t>Too Marvelous For Words</t>
  </si>
  <si>
    <t>Ac-Cent-Chu-Ate The Positive</t>
  </si>
  <si>
    <t>You Are The Top/Freindship/Anything Goes</t>
  </si>
  <si>
    <t>Mantunian Way - Ciaran Wilson</t>
  </si>
  <si>
    <t>2019 P</t>
  </si>
  <si>
    <t>W London/GWC/Don Amos</t>
  </si>
  <si>
    <t>Return Ticket</t>
  </si>
  <si>
    <t>Antique Gold</t>
  </si>
  <si>
    <t>Joe Dodd</t>
  </si>
  <si>
    <t>Jonathan Dyson</t>
  </si>
  <si>
    <t>Late Arrivals</t>
  </si>
  <si>
    <t>Colin Milner</t>
  </si>
  <si>
    <t>Robert Jarvis</t>
  </si>
  <si>
    <t>Southern Gentlemen</t>
  </si>
  <si>
    <t>Alan Clarke</t>
  </si>
  <si>
    <t>Frank Henry</t>
  </si>
  <si>
    <t>John Yapp</t>
  </si>
  <si>
    <t>John Masters</t>
  </si>
  <si>
    <t>Thirtieth</t>
  </si>
  <si>
    <t>Thirty-first</t>
  </si>
  <si>
    <t>Thirty-second</t>
  </si>
  <si>
    <t>Thirty-third</t>
  </si>
  <si>
    <t>Thirty-fourth</t>
  </si>
  <si>
    <t>Thirty-sixth</t>
  </si>
  <si>
    <t>Thirty-fifth</t>
  </si>
  <si>
    <t>Thirty-seventh</t>
  </si>
  <si>
    <t>Thirty-eighth</t>
  </si>
  <si>
    <t>Thirty-ninth</t>
  </si>
  <si>
    <t>Fortieth</t>
  </si>
  <si>
    <t>Forty-second</t>
  </si>
  <si>
    <t>Forty-third</t>
  </si>
  <si>
    <t>Forty-fourth</t>
  </si>
  <si>
    <t>Forty-fifth</t>
  </si>
  <si>
    <t>Forty-sixth</t>
  </si>
  <si>
    <t>Forty-seventh</t>
  </si>
  <si>
    <t>Forty-eighth</t>
  </si>
  <si>
    <t>Forty-first</t>
  </si>
  <si>
    <t>The Shimmering Bonsai Boys</t>
  </si>
  <si>
    <t>Perfect Storm</t>
  </si>
  <si>
    <t>Matthew Bambrook</t>
  </si>
  <si>
    <t>Connor Cobb</t>
  </si>
  <si>
    <t>Amit Bagheri</t>
  </si>
  <si>
    <t>Deadlock =10th</t>
  </si>
  <si>
    <t>Ziplock = 10th</t>
  </si>
  <si>
    <t>Garth Davies</t>
  </si>
  <si>
    <t>Luke Freeman</t>
  </si>
  <si>
    <t>Andy King</t>
  </si>
  <si>
    <t>Jonathan Healey</t>
  </si>
  <si>
    <t>Christopher Price</t>
  </si>
  <si>
    <t>Eleventh Hour</t>
  </si>
  <si>
    <t>Joe Neleson</t>
  </si>
  <si>
    <t>Tomm Schofield</t>
  </si>
  <si>
    <t>The Magic Soundabout = 13th</t>
  </si>
  <si>
    <t>Eleventh Hour = 13th</t>
  </si>
  <si>
    <t>Diminished Fourth = 13th</t>
  </si>
  <si>
    <t>Frank'nSense'nMirth = 13th</t>
  </si>
  <si>
    <t>Don Linegar</t>
  </si>
  <si>
    <t>Vierless</t>
  </si>
  <si>
    <t>QM = 16th</t>
  </si>
  <si>
    <t>Vierless = 16th</t>
  </si>
  <si>
    <t>Daniel Meekings</t>
  </si>
  <si>
    <t>Joe Shaw</t>
  </si>
  <si>
    <t>Barcode</t>
  </si>
  <si>
    <t>Jonny Coulter</t>
  </si>
  <si>
    <t xml:space="preserve">4K </t>
  </si>
  <si>
    <t>Ben Greaaves</t>
  </si>
  <si>
    <t>Jim Brassington</t>
  </si>
  <si>
    <t>Tomm Schfield</t>
  </si>
  <si>
    <t>HeyDay</t>
  </si>
  <si>
    <t>Lance Pryce</t>
  </si>
  <si>
    <t>Midnight Train</t>
  </si>
  <si>
    <t>David Taylor</t>
  </si>
  <si>
    <t>The Backup Plan</t>
  </si>
  <si>
    <t>Josh Stockton</t>
  </si>
  <si>
    <t>Gareth Coffin</t>
  </si>
  <si>
    <t>Oscar Ives-Owen</t>
  </si>
  <si>
    <t>The Argonotes</t>
  </si>
  <si>
    <t>Iwan Roberts</t>
  </si>
  <si>
    <t>The Brand Ambassadors</t>
  </si>
  <si>
    <t>Raj Kasandas</t>
  </si>
  <si>
    <t>Rory Higgins</t>
  </si>
  <si>
    <t>Nazir Khan</t>
  </si>
  <si>
    <t>Sunset Boulevard</t>
  </si>
  <si>
    <t>Graham Porter</t>
  </si>
  <si>
    <t>Bolton / Stockport</t>
  </si>
  <si>
    <t>Tuxedo / Sheffield</t>
  </si>
  <si>
    <t>Coventry/Tuxedo</t>
  </si>
  <si>
    <t>Nottingham / Don Amos</t>
  </si>
  <si>
    <t>Portsmouth/Reading/Don Amos</t>
  </si>
  <si>
    <t>E Mids / Tuxedo</t>
  </si>
  <si>
    <t>Apollo 11</t>
  </si>
  <si>
    <t>The Magic Soundabout</t>
  </si>
  <si>
    <t>Nottingham / York</t>
  </si>
  <si>
    <t>Aidan Brand 1</t>
  </si>
  <si>
    <t>Aidan Brand 2</t>
  </si>
  <si>
    <t>Andy Rzysko 1</t>
  </si>
  <si>
    <t>Andy Rzysko 2</t>
  </si>
  <si>
    <t>The Humber Harmony</t>
  </si>
  <si>
    <t>Ziplock</t>
  </si>
  <si>
    <t>Diminished Fourth</t>
  </si>
  <si>
    <t>Bar Code</t>
  </si>
  <si>
    <t>Anvil Chorus 3</t>
  </si>
  <si>
    <t>Results by first, second and third</t>
  </si>
  <si>
    <t>West London / GWC / Don Amos</t>
  </si>
  <si>
    <t>We Kinda Miss Those Good Ol' Songs</t>
  </si>
  <si>
    <t>York,Sheffield,Tuxedo</t>
  </si>
  <si>
    <t>Meantime/Tuxedo/Hull</t>
  </si>
  <si>
    <t>B'mouth,Meantime,Don Amos</t>
  </si>
  <si>
    <t>Meantime,Don Amos</t>
  </si>
  <si>
    <t>Meantime,Bristol</t>
  </si>
  <si>
    <t>Sheff',Tuxedo,EMids</t>
  </si>
  <si>
    <t>Camb,VIPs,Tux,Royal Harm</t>
  </si>
  <si>
    <t>Grand Central,Preston</t>
  </si>
  <si>
    <t>Telford,Plymouth,Bristol</t>
  </si>
  <si>
    <t>Camb,Wmids,Bolton</t>
  </si>
  <si>
    <t>Calder Valley,NYBC</t>
  </si>
  <si>
    <t>York,Sheffield</t>
  </si>
  <si>
    <t>Don Amos,Bristol</t>
  </si>
  <si>
    <t>Cambs,Peterbro'</t>
  </si>
  <si>
    <t>Chelmsf'd,Potton</t>
  </si>
  <si>
    <t>Cambs,P'Mouth</t>
  </si>
  <si>
    <t>Cambridge,Reading</t>
  </si>
  <si>
    <t>WMid,Telford,EMid</t>
  </si>
  <si>
    <t>C'wall, S Dev,Mon,Bristol</t>
  </si>
  <si>
    <t>GWC,Wmid,Bromley,Stockport</t>
  </si>
  <si>
    <t>Sheffield,York,Don Amos</t>
  </si>
  <si>
    <t>GWC/Don Amos/Reading</t>
  </si>
  <si>
    <t>Telford,Sheffield,B'ham,Don Amos</t>
  </si>
  <si>
    <t>Qyestion Mark</t>
  </si>
  <si>
    <t>Tony Paxton</t>
  </si>
  <si>
    <t>Sent to Chas Owen - 20/9/18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</si>
</sst>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;[Red]\(#,##0.00\)"/>
    <numFmt numFmtId="165" formatCode="0.0%"/>
    <numFmt numFmtId="166" formatCode="#,###\ ;[Red]\(#,##0\)"/>
    <numFmt numFmtId="167" formatCode="#,##0\ ;[Red]\(#,##0\)"/>
    <numFmt numFmtId="168" formatCode="#,##0.000\ ;[Red]\(#,##0.000\)"/>
    <numFmt numFmtId="169" formatCode="###0\ ;[Red]\(###0\)"/>
    <numFmt numFmtId="170" formatCode="###0\ ;[Red]\-###0"/>
    <numFmt numFmtId="171" formatCode="#,##0;[Red]#,##0"/>
  </numFmts>
  <fonts count="50" x14ac:knownFonts="1">
    <font>
      <sz val="10"/>
      <name val="Courier"/>
    </font>
    <font>
      <u/>
      <sz val="10"/>
      <color indexed="12"/>
      <name val="Courier"/>
      <family val="3"/>
    </font>
    <font>
      <b/>
      <u/>
      <sz val="8"/>
      <name val="Arial Narrow"/>
      <family val="2"/>
    </font>
    <font>
      <u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12"/>
      <name val="Arial Narrow"/>
      <family val="2"/>
    </font>
    <font>
      <sz val="10"/>
      <name val="Courier"/>
      <family val="3"/>
    </font>
    <font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18"/>
      <name val="Tahoma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color indexed="10"/>
      <name val="Arial"/>
      <family val="2"/>
    </font>
    <font>
      <sz val="8"/>
      <color indexed="62"/>
      <name val="Arial Narrow"/>
      <family val="2"/>
    </font>
    <font>
      <b/>
      <u/>
      <sz val="8"/>
      <color indexed="62"/>
      <name val="Arial Narrow"/>
      <family val="2"/>
    </font>
    <font>
      <u/>
      <sz val="8"/>
      <color indexed="62"/>
      <name val="Arial Narrow"/>
      <family val="2"/>
    </font>
    <font>
      <sz val="10"/>
      <color indexed="62"/>
      <name val="Arial"/>
      <family val="2"/>
    </font>
    <font>
      <b/>
      <u/>
      <sz val="10"/>
      <color indexed="62"/>
      <name val="Arial"/>
      <family val="2"/>
    </font>
    <font>
      <sz val="8"/>
      <color indexed="10"/>
      <name val="Arial Narrow"/>
      <family val="2"/>
    </font>
    <font>
      <sz val="8"/>
      <color indexed="18"/>
      <name val="Arial Narrow"/>
      <family val="2"/>
    </font>
    <font>
      <b/>
      <u/>
      <sz val="8"/>
      <color indexed="18"/>
      <name val="Arial Narrow"/>
      <family val="2"/>
    </font>
    <font>
      <b/>
      <u/>
      <sz val="16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u/>
      <sz val="8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name val="Courier"/>
      <family val="3"/>
    </font>
    <font>
      <b/>
      <sz val="12"/>
      <color indexed="62"/>
      <name val="Arial"/>
      <family val="2"/>
    </font>
    <font>
      <sz val="8"/>
      <name val="Courier"/>
      <family val="3"/>
    </font>
    <font>
      <sz val="8"/>
      <color rgb="FF333399"/>
      <name val="Arial Narrow"/>
      <family val="2"/>
    </font>
    <font>
      <b/>
      <u/>
      <sz val="10"/>
      <color rgb="FF33339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</cellStyleXfs>
  <cellXfs count="706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quotePrefix="1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quotePrefix="1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1" xfId="0" applyFont="1" applyBorder="1"/>
    <xf numFmtId="15" fontId="11" fillId="0" borderId="10" xfId="3" applyNumberFormat="1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1" fillId="0" borderId="13" xfId="3" applyFont="1" applyBorder="1" applyAlignment="1">
      <alignment horizontal="center"/>
    </xf>
    <xf numFmtId="0" fontId="11" fillId="0" borderId="14" xfId="3" applyFont="1" applyBorder="1" applyAlignment="1">
      <alignment horizontal="center"/>
    </xf>
    <xf numFmtId="165" fontId="11" fillId="0" borderId="12" xfId="3" applyNumberFormat="1" applyFont="1" applyBorder="1" applyAlignment="1">
      <alignment horizontal="center"/>
    </xf>
    <xf numFmtId="1" fontId="11" fillId="0" borderId="13" xfId="3" applyNumberFormat="1" applyFont="1" applyBorder="1" applyAlignment="1">
      <alignment horizontal="center"/>
    </xf>
    <xf numFmtId="0" fontId="11" fillId="0" borderId="15" xfId="3" applyFont="1" applyBorder="1" applyAlignment="1">
      <alignment horizontal="center"/>
    </xf>
    <xf numFmtId="0" fontId="11" fillId="0" borderId="0" xfId="3" applyFont="1" applyAlignment="1">
      <alignment horizontal="center"/>
    </xf>
    <xf numFmtId="15" fontId="11" fillId="0" borderId="16" xfId="3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165" fontId="11" fillId="0" borderId="9" xfId="3" applyNumberFormat="1" applyFont="1" applyBorder="1" applyAlignment="1">
      <alignment horizontal="center"/>
    </xf>
    <xf numFmtId="1" fontId="11" fillId="0" borderId="4" xfId="3" applyNumberFormat="1" applyFont="1" applyBorder="1" applyAlignment="1">
      <alignment horizontal="center"/>
    </xf>
    <xf numFmtId="1" fontId="11" fillId="0" borderId="1" xfId="3" applyNumberFormat="1" applyFont="1" applyBorder="1" applyAlignment="1">
      <alignment horizontal="center"/>
    </xf>
    <xf numFmtId="0" fontId="11" fillId="0" borderId="17" xfId="3" applyFont="1" applyBorder="1" applyAlignment="1">
      <alignment horizontal="center"/>
    </xf>
    <xf numFmtId="0" fontId="11" fillId="0" borderId="18" xfId="3" applyFont="1" applyBorder="1" applyAlignment="1">
      <alignment horizontal="center"/>
    </xf>
    <xf numFmtId="0" fontId="11" fillId="0" borderId="19" xfId="3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0" fontId="11" fillId="0" borderId="21" xfId="3" applyFont="1" applyBorder="1" applyAlignment="1">
      <alignment horizontal="center"/>
    </xf>
    <xf numFmtId="0" fontId="11" fillId="0" borderId="22" xfId="3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11" fillId="0" borderId="24" xfId="3" applyFont="1" applyBorder="1" applyAlignment="1">
      <alignment horizontal="center"/>
    </xf>
    <xf numFmtId="165" fontId="11" fillId="0" borderId="22" xfId="3" applyNumberFormat="1" applyFont="1" applyBorder="1" applyAlignment="1">
      <alignment horizontal="center"/>
    </xf>
    <xf numFmtId="1" fontId="11" fillId="0" borderId="23" xfId="3" applyNumberFormat="1" applyFont="1" applyBorder="1" applyAlignment="1">
      <alignment horizontal="center"/>
    </xf>
    <xf numFmtId="1" fontId="11" fillId="0" borderId="24" xfId="3" applyNumberFormat="1" applyFont="1" applyBorder="1" applyAlignment="1">
      <alignment horizontal="center"/>
    </xf>
    <xf numFmtId="0" fontId="11" fillId="0" borderId="25" xfId="3" applyFont="1" applyBorder="1" applyAlignment="1">
      <alignment horizontal="center"/>
    </xf>
    <xf numFmtId="0" fontId="11" fillId="0" borderId="9" xfId="3" applyFont="1" applyBorder="1"/>
    <xf numFmtId="0" fontId="11" fillId="0" borderId="0" xfId="3" applyFont="1" applyBorder="1"/>
    <xf numFmtId="0" fontId="11" fillId="0" borderId="1" xfId="3" applyFont="1" applyBorder="1"/>
    <xf numFmtId="0" fontId="12" fillId="0" borderId="9" xfId="3" applyFont="1" applyBorder="1" applyAlignment="1">
      <alignment horizontal="center"/>
    </xf>
    <xf numFmtId="1" fontId="11" fillId="0" borderId="0" xfId="3" applyNumberFormat="1" applyFont="1" applyBorder="1" applyAlignment="1">
      <alignment horizontal="center"/>
    </xf>
    <xf numFmtId="0" fontId="11" fillId="0" borderId="26" xfId="3" applyFont="1" applyBorder="1" applyAlignment="1">
      <alignment horizontal="center"/>
    </xf>
    <xf numFmtId="0" fontId="11" fillId="0" borderId="0" xfId="3" applyFont="1"/>
    <xf numFmtId="15" fontId="11" fillId="0" borderId="27" xfId="3" applyNumberFormat="1" applyFont="1" applyBorder="1" applyAlignment="1">
      <alignment horizontal="center"/>
    </xf>
    <xf numFmtId="0" fontId="11" fillId="0" borderId="8" xfId="3" applyFont="1" applyBorder="1"/>
    <xf numFmtId="0" fontId="11" fillId="0" borderId="2" xfId="3" applyFont="1" applyBorder="1"/>
    <xf numFmtId="0" fontId="11" fillId="0" borderId="3" xfId="3" applyFont="1" applyBorder="1"/>
    <xf numFmtId="165" fontId="11" fillId="0" borderId="8" xfId="3" applyNumberFormat="1" applyFont="1" applyBorder="1" applyAlignment="1">
      <alignment horizontal="center"/>
    </xf>
    <xf numFmtId="1" fontId="11" fillId="0" borderId="2" xfId="3" applyNumberFormat="1" applyFont="1" applyBorder="1" applyAlignment="1">
      <alignment horizontal="center"/>
    </xf>
    <xf numFmtId="1" fontId="11" fillId="0" borderId="3" xfId="3" applyNumberFormat="1" applyFont="1" applyBorder="1" applyAlignment="1">
      <alignment horizontal="center"/>
    </xf>
    <xf numFmtId="0" fontId="11" fillId="0" borderId="28" xfId="3" applyFont="1" applyBorder="1" applyAlignment="1">
      <alignment horizontal="center"/>
    </xf>
    <xf numFmtId="15" fontId="11" fillId="0" borderId="29" xfId="3" applyNumberFormat="1" applyFont="1" applyBorder="1" applyAlignment="1">
      <alignment horizontal="center"/>
    </xf>
    <xf numFmtId="0" fontId="11" fillId="0" borderId="30" xfId="3" applyFont="1" applyBorder="1" applyAlignment="1">
      <alignment horizontal="center"/>
    </xf>
    <xf numFmtId="0" fontId="11" fillId="0" borderId="31" xfId="3" applyFont="1" applyBorder="1" applyAlignment="1">
      <alignment horizontal="center"/>
    </xf>
    <xf numFmtId="0" fontId="11" fillId="0" borderId="6" xfId="3" applyFont="1" applyBorder="1"/>
    <xf numFmtId="0" fontId="11" fillId="0" borderId="6" xfId="3" applyFont="1" applyBorder="1" applyAlignment="1">
      <alignment horizontal="center"/>
    </xf>
    <xf numFmtId="0" fontId="11" fillId="0" borderId="30" xfId="3" applyFont="1" applyBorder="1"/>
    <xf numFmtId="0" fontId="11" fillId="0" borderId="31" xfId="3" applyFont="1" applyBorder="1"/>
    <xf numFmtId="165" fontId="11" fillId="0" borderId="6" xfId="3" applyNumberFormat="1" applyFont="1" applyBorder="1" applyAlignment="1">
      <alignment horizontal="center"/>
    </xf>
    <xf numFmtId="1" fontId="11" fillId="0" borderId="30" xfId="3" applyNumberFormat="1" applyFont="1" applyBorder="1" applyAlignment="1">
      <alignment horizontal="center"/>
    </xf>
    <xf numFmtId="1" fontId="11" fillId="0" borderId="31" xfId="3" applyNumberFormat="1" applyFont="1" applyBorder="1" applyAlignment="1">
      <alignment horizontal="center"/>
    </xf>
    <xf numFmtId="0" fontId="11" fillId="0" borderId="32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15" fontId="11" fillId="0" borderId="33" xfId="3" applyNumberFormat="1" applyFont="1" applyBorder="1" applyAlignment="1">
      <alignment horizontal="center"/>
    </xf>
    <xf numFmtId="0" fontId="11" fillId="0" borderId="22" xfId="3" applyFont="1" applyBorder="1"/>
    <xf numFmtId="0" fontId="11" fillId="0" borderId="17" xfId="3" applyFont="1" applyBorder="1"/>
    <xf numFmtId="0" fontId="11" fillId="0" borderId="24" xfId="3" applyFont="1" applyBorder="1"/>
    <xf numFmtId="1" fontId="11" fillId="0" borderId="17" xfId="3" applyNumberFormat="1" applyFont="1" applyBorder="1" applyAlignment="1">
      <alignment horizontal="center"/>
    </xf>
    <xf numFmtId="0" fontId="11" fillId="0" borderId="34" xfId="3" applyFont="1" applyBorder="1" applyAlignment="1">
      <alignment horizontal="center"/>
    </xf>
    <xf numFmtId="15" fontId="11" fillId="0" borderId="0" xfId="3" applyNumberFormat="1" applyFont="1"/>
    <xf numFmtId="0" fontId="13" fillId="0" borderId="0" xfId="3" applyFont="1"/>
    <xf numFmtId="165" fontId="11" fillId="0" borderId="0" xfId="3" applyNumberFormat="1" applyFont="1" applyAlignment="1">
      <alignment horizontal="center"/>
    </xf>
    <xf numFmtId="1" fontId="11" fillId="0" borderId="0" xfId="3" applyNumberFormat="1" applyFont="1" applyAlignment="1">
      <alignment horizontal="center"/>
    </xf>
    <xf numFmtId="0" fontId="11" fillId="0" borderId="0" xfId="3" applyFont="1" applyAlignment="1"/>
    <xf numFmtId="1" fontId="11" fillId="0" borderId="35" xfId="3" applyNumberFormat="1" applyFont="1" applyBorder="1" applyAlignment="1">
      <alignment horizontal="center"/>
    </xf>
    <xf numFmtId="1" fontId="11" fillId="0" borderId="26" xfId="3" applyNumberFormat="1" applyFont="1" applyBorder="1" applyAlignment="1">
      <alignment horizontal="center"/>
    </xf>
    <xf numFmtId="1" fontId="11" fillId="0" borderId="34" xfId="3" applyNumberFormat="1" applyFont="1" applyBorder="1" applyAlignment="1">
      <alignment horizontal="center"/>
    </xf>
    <xf numFmtId="0" fontId="11" fillId="0" borderId="12" xfId="3" applyFont="1" applyBorder="1"/>
    <xf numFmtId="0" fontId="11" fillId="0" borderId="11" xfId="3" applyFont="1" applyBorder="1"/>
    <xf numFmtId="0" fontId="11" fillId="0" borderId="14" xfId="3" applyFont="1" applyBorder="1"/>
    <xf numFmtId="0" fontId="12" fillId="0" borderId="12" xfId="3" applyFont="1" applyBorder="1" applyAlignment="1">
      <alignment horizontal="center"/>
    </xf>
    <xf numFmtId="1" fontId="11" fillId="0" borderId="11" xfId="3" applyNumberFormat="1" applyFont="1" applyBorder="1" applyAlignment="1">
      <alignment horizontal="center"/>
    </xf>
    <xf numFmtId="1" fontId="11" fillId="0" borderId="32" xfId="3" applyNumberFormat="1" applyFont="1" applyBorder="1" applyAlignment="1">
      <alignment horizontal="center"/>
    </xf>
    <xf numFmtId="1" fontId="11" fillId="0" borderId="28" xfId="3" applyNumberFormat="1" applyFont="1" applyBorder="1" applyAlignment="1">
      <alignment horizontal="center"/>
    </xf>
    <xf numFmtId="0" fontId="11" fillId="0" borderId="30" xfId="3" applyFont="1" applyFill="1" applyBorder="1"/>
    <xf numFmtId="0" fontId="11" fillId="0" borderId="2" xfId="3" applyFont="1" applyFill="1" applyBorder="1"/>
    <xf numFmtId="0" fontId="11" fillId="0" borderId="0" xfId="3" applyFont="1" applyFill="1" applyBorder="1"/>
    <xf numFmtId="165" fontId="11" fillId="0" borderId="0" xfId="3" applyNumberFormat="1" applyFont="1" applyBorder="1" applyAlignment="1">
      <alignment horizontal="center"/>
    </xf>
    <xf numFmtId="1" fontId="11" fillId="0" borderId="12" xfId="3" applyNumberFormat="1" applyFont="1" applyBorder="1" applyAlignment="1">
      <alignment horizontal="center"/>
    </xf>
    <xf numFmtId="1" fontId="11" fillId="0" borderId="22" xfId="3" applyNumberFormat="1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15" fontId="11" fillId="0" borderId="0" xfId="3" applyNumberFormat="1" applyFont="1" applyBorder="1" applyAlignment="1">
      <alignment horizontal="center"/>
    </xf>
    <xf numFmtId="0" fontId="12" fillId="0" borderId="15" xfId="3" applyFont="1" applyBorder="1" applyAlignment="1">
      <alignment horizontal="center"/>
    </xf>
    <xf numFmtId="15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15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15" fontId="1" fillId="0" borderId="33" xfId="1" applyNumberFormat="1" applyBorder="1" applyAlignment="1" applyProtection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9" xfId="0" applyFont="1" applyBorder="1"/>
    <xf numFmtId="0" fontId="11" fillId="0" borderId="0" xfId="0" applyFont="1" applyBorder="1"/>
    <xf numFmtId="0" fontId="11" fillId="0" borderId="1" xfId="0" applyFont="1" applyBorder="1"/>
    <xf numFmtId="0" fontId="12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/>
    <xf numFmtId="15" fontId="11" fillId="0" borderId="27" xfId="0" applyNumberFormat="1" applyFont="1" applyBorder="1" applyAlignment="1">
      <alignment horizontal="center"/>
    </xf>
    <xf numFmtId="0" fontId="11" fillId="0" borderId="8" xfId="0" applyFont="1" applyBorder="1"/>
    <xf numFmtId="0" fontId="11" fillId="0" borderId="2" xfId="0" applyFont="1" applyBorder="1"/>
    <xf numFmtId="0" fontId="11" fillId="0" borderId="3" xfId="0" applyFont="1" applyBorder="1"/>
    <xf numFmtId="165" fontId="11" fillId="0" borderId="8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5" fontId="11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165" fontId="11" fillId="0" borderId="6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5" fontId="11" fillId="0" borderId="0" xfId="0" applyNumberFormat="1" applyFont="1"/>
    <xf numFmtId="16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4" fillId="0" borderId="1" xfId="0" quotePrefix="1" applyNumberFormat="1" applyFont="1" applyFill="1" applyBorder="1" applyAlignment="1" applyProtection="1">
      <alignment horizontal="center"/>
    </xf>
    <xf numFmtId="0" fontId="17" fillId="0" borderId="0" xfId="5" applyFont="1" applyAlignment="1">
      <alignment horizontal="center"/>
    </xf>
    <xf numFmtId="0" fontId="9" fillId="0" borderId="0" xfId="5" applyAlignment="1">
      <alignment horizontal="center"/>
    </xf>
    <xf numFmtId="0" fontId="9" fillId="0" borderId="0" xfId="5"/>
    <xf numFmtId="0" fontId="18" fillId="0" borderId="0" xfId="5" applyFont="1" applyAlignment="1">
      <alignment horizontal="center"/>
    </xf>
    <xf numFmtId="0" fontId="19" fillId="0" borderId="0" xfId="5" applyFont="1" applyFill="1"/>
    <xf numFmtId="166" fontId="19" fillId="0" borderId="0" xfId="5" applyNumberFormat="1" applyFont="1" applyFill="1" applyBorder="1"/>
    <xf numFmtId="0" fontId="19" fillId="0" borderId="0" xfId="5" applyFont="1" applyFill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quotePrefix="1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NumberFormat="1" applyFont="1" applyFill="1" applyBorder="1" applyAlignment="1" applyProtection="1">
      <alignment horizontal="center"/>
    </xf>
    <xf numFmtId="0" fontId="21" fillId="0" borderId="1" xfId="0" quotePrefix="1" applyNumberFormat="1" applyFont="1" applyFill="1" applyBorder="1" applyAlignment="1" applyProtection="1">
      <alignment horizontal="center"/>
    </xf>
    <xf numFmtId="0" fontId="21" fillId="0" borderId="3" xfId="0" applyNumberFormat="1" applyFont="1" applyFill="1" applyBorder="1" applyAlignment="1" applyProtection="1">
      <alignment horizontal="center"/>
    </xf>
    <xf numFmtId="0" fontId="21" fillId="0" borderId="9" xfId="0" quotePrefix="1" applyNumberFormat="1" applyFont="1" applyFill="1" applyBorder="1" applyAlignment="1" applyProtection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0" xfId="3" applyFont="1" applyBorder="1" applyAlignment="1">
      <alignment horizontal="center"/>
    </xf>
    <xf numFmtId="0" fontId="24" fillId="0" borderId="31" xfId="3" applyFont="1" applyBorder="1" applyAlignment="1">
      <alignment horizontal="center"/>
    </xf>
    <xf numFmtId="0" fontId="24" fillId="0" borderId="2" xfId="3" applyFont="1" applyBorder="1" applyAlignment="1">
      <alignment horizontal="center"/>
    </xf>
    <xf numFmtId="0" fontId="24" fillId="0" borderId="3" xfId="3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24" fillId="0" borderId="1" xfId="3" applyFont="1" applyBorder="1" applyAlignment="1">
      <alignment horizontal="center"/>
    </xf>
    <xf numFmtId="0" fontId="24" fillId="0" borderId="17" xfId="3" applyFont="1" applyBorder="1" applyAlignment="1">
      <alignment horizontal="center"/>
    </xf>
    <xf numFmtId="0" fontId="24" fillId="0" borderId="24" xfId="3" applyFont="1" applyBorder="1" applyAlignment="1">
      <alignment horizontal="center"/>
    </xf>
    <xf numFmtId="0" fontId="24" fillId="0" borderId="0" xfId="3" applyFont="1"/>
    <xf numFmtId="0" fontId="24" fillId="0" borderId="11" xfId="3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0" fontId="24" fillId="0" borderId="14" xfId="3" applyFont="1" applyBorder="1" applyAlignment="1">
      <alignment horizontal="center"/>
    </xf>
    <xf numFmtId="0" fontId="25" fillId="0" borderId="11" xfId="3" applyFont="1" applyBorder="1" applyAlignment="1">
      <alignment horizontal="center"/>
    </xf>
    <xf numFmtId="0" fontId="25" fillId="0" borderId="1" xfId="3" applyFont="1" applyBorder="1" applyAlignment="1">
      <alignment horizontal="center"/>
    </xf>
    <xf numFmtId="0" fontId="25" fillId="0" borderId="17" xfId="3" applyFont="1" applyBorder="1" applyAlignment="1">
      <alignment horizontal="center"/>
    </xf>
    <xf numFmtId="0" fontId="24" fillId="0" borderId="0" xfId="0" applyFont="1"/>
    <xf numFmtId="0" fontId="12" fillId="0" borderId="8" xfId="3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4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9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0" xfId="0" applyBorder="1"/>
    <xf numFmtId="0" fontId="26" fillId="0" borderId="4" xfId="0" applyFont="1" applyFill="1" applyBorder="1" applyAlignment="1">
      <alignment horizontal="center"/>
    </xf>
    <xf numFmtId="0" fontId="27" fillId="0" borderId="9" xfId="0" quotePrefix="1" applyFont="1" applyFill="1" applyBorder="1" applyAlignment="1">
      <alignment horizontal="center"/>
    </xf>
    <xf numFmtId="0" fontId="27" fillId="0" borderId="9" xfId="0" applyNumberFormat="1" applyFont="1" applyFill="1" applyBorder="1" applyAlignment="1" applyProtection="1">
      <alignment horizontal="center"/>
    </xf>
    <xf numFmtId="0" fontId="27" fillId="0" borderId="2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9" fillId="0" borderId="0" xfId="5" applyNumberFormat="1" applyFont="1" applyFill="1" applyBorder="1" applyAlignment="1"/>
    <xf numFmtId="0" fontId="19" fillId="0" borderId="37" xfId="5" applyFont="1" applyFill="1" applyBorder="1" applyAlignment="1">
      <alignment horizontal="center"/>
    </xf>
    <xf numFmtId="166" fontId="19" fillId="0" borderId="0" xfId="5" applyNumberFormat="1" applyFont="1" applyFill="1" applyBorder="1" applyAlignment="1"/>
    <xf numFmtId="166" fontId="19" fillId="0" borderId="0" xfId="5" applyNumberFormat="1" applyFont="1" applyFill="1" applyBorder="1" applyAlignment="1" applyProtection="1"/>
    <xf numFmtId="0" fontId="21" fillId="0" borderId="1" xfId="0" applyNumberFormat="1" applyFont="1" applyFill="1" applyBorder="1" applyAlignment="1" applyProtection="1">
      <alignment horizontal="center"/>
    </xf>
    <xf numFmtId="0" fontId="19" fillId="0" borderId="4" xfId="5" applyFont="1" applyFill="1" applyBorder="1" applyAlignment="1">
      <alignment vertical="center"/>
    </xf>
    <xf numFmtId="0" fontId="19" fillId="0" borderId="4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0" fontId="19" fillId="0" borderId="1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/>
    </xf>
    <xf numFmtId="0" fontId="19" fillId="0" borderId="0" xfId="5" applyFont="1" applyFill="1" applyAlignment="1">
      <alignment vertical="center"/>
    </xf>
    <xf numFmtId="166" fontId="19" fillId="0" borderId="0" xfId="5" applyNumberFormat="1" applyFont="1" applyFill="1" applyBorder="1" applyAlignment="1">
      <alignment vertical="center"/>
    </xf>
    <xf numFmtId="0" fontId="19" fillId="0" borderId="1" xfId="5" applyFont="1" applyFill="1" applyBorder="1" applyAlignment="1">
      <alignment vertical="center"/>
    </xf>
    <xf numFmtId="0" fontId="19" fillId="0" borderId="5" xfId="5" applyFont="1" applyFill="1" applyBorder="1" applyAlignment="1">
      <alignment vertical="center"/>
    </xf>
    <xf numFmtId="0" fontId="19" fillId="0" borderId="2" xfId="5" applyFont="1" applyFill="1" applyBorder="1" applyAlignment="1">
      <alignment vertical="center"/>
    </xf>
    <xf numFmtId="0" fontId="19" fillId="0" borderId="3" xfId="5" applyFont="1" applyFill="1" applyBorder="1" applyAlignment="1">
      <alignment vertical="center"/>
    </xf>
    <xf numFmtId="0" fontId="19" fillId="0" borderId="30" xfId="5" applyFont="1" applyFill="1" applyBorder="1" applyAlignment="1">
      <alignment vertical="center"/>
    </xf>
    <xf numFmtId="0" fontId="20" fillId="0" borderId="30" xfId="5" applyFont="1" applyFill="1" applyBorder="1" applyAlignment="1">
      <alignment vertical="center"/>
    </xf>
    <xf numFmtId="0" fontId="19" fillId="0" borderId="31" xfId="5" applyFont="1" applyFill="1" applyBorder="1" applyAlignment="1">
      <alignment vertical="center"/>
    </xf>
    <xf numFmtId="0" fontId="20" fillId="0" borderId="0" xfId="5" applyFont="1" applyFill="1" applyBorder="1" applyAlignment="1">
      <alignment vertical="center"/>
    </xf>
    <xf numFmtId="0" fontId="19" fillId="0" borderId="0" xfId="5" applyFont="1" applyFill="1" applyAlignment="1">
      <alignment horizontal="center" vertical="center"/>
    </xf>
    <xf numFmtId="0" fontId="19" fillId="0" borderId="38" xfId="5" applyFont="1" applyFill="1" applyBorder="1" applyAlignment="1">
      <alignment vertical="center"/>
    </xf>
    <xf numFmtId="0" fontId="9" fillId="0" borderId="0" xfId="5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3" applyFont="1" applyAlignment="1"/>
    <xf numFmtId="0" fontId="27" fillId="0" borderId="9" xfId="0" applyNumberFormat="1" applyFont="1" applyFill="1" applyBorder="1"/>
    <xf numFmtId="0" fontId="19" fillId="0" borderId="9" xfId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8" xfId="1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7" xfId="3" applyFont="1" applyFill="1" applyBorder="1" applyAlignment="1">
      <alignment vertical="center"/>
    </xf>
    <xf numFmtId="0" fontId="19" fillId="0" borderId="30" xfId="3" applyFont="1" applyFill="1" applyBorder="1" applyAlignment="1">
      <alignment horizontal="center" vertical="center"/>
    </xf>
    <xf numFmtId="0" fontId="19" fillId="0" borderId="31" xfId="3" applyFont="1" applyFill="1" applyBorder="1" applyAlignment="1">
      <alignment horizontal="center" vertical="center"/>
    </xf>
    <xf numFmtId="0" fontId="19" fillId="0" borderId="30" xfId="3" applyFont="1" applyFill="1" applyBorder="1" applyAlignment="1">
      <alignment vertical="center"/>
    </xf>
    <xf numFmtId="0" fontId="19" fillId="0" borderId="31" xfId="3" applyFont="1" applyFill="1" applyBorder="1" applyAlignment="1">
      <alignment vertical="center"/>
    </xf>
    <xf numFmtId="0" fontId="19" fillId="0" borderId="4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vertical="center"/>
    </xf>
    <xf numFmtId="0" fontId="19" fillId="0" borderId="2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19" fillId="0" borderId="5" xfId="3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167" fontId="19" fillId="0" borderId="0" xfId="0" applyNumberFormat="1" applyFont="1" applyAlignment="1">
      <alignment vertical="center"/>
    </xf>
    <xf numFmtId="167" fontId="19" fillId="0" borderId="0" xfId="0" applyNumberFormat="1" applyFont="1" applyFill="1" applyAlignment="1">
      <alignment vertical="center"/>
    </xf>
    <xf numFmtId="167" fontId="19" fillId="0" borderId="6" xfId="0" applyNumberFormat="1" applyFont="1" applyBorder="1" applyAlignment="1">
      <alignment horizontal="center" vertical="center"/>
    </xf>
    <xf numFmtId="167" fontId="19" fillId="0" borderId="8" xfId="0" applyNumberFormat="1" applyFont="1" applyBorder="1" applyAlignment="1">
      <alignment horizontal="center" vertical="center"/>
    </xf>
    <xf numFmtId="0" fontId="17" fillId="0" borderId="40" xfId="5" applyFont="1" applyFill="1" applyBorder="1" applyAlignment="1">
      <alignment vertical="center" wrapText="1"/>
    </xf>
    <xf numFmtId="0" fontId="17" fillId="0" borderId="38" xfId="5" applyFont="1" applyFill="1" applyBorder="1" applyAlignment="1">
      <alignment vertical="center" wrapText="1"/>
    </xf>
    <xf numFmtId="0" fontId="9" fillId="0" borderId="0" xfId="4" applyAlignment="1">
      <alignment horizontal="center"/>
    </xf>
    <xf numFmtId="0" fontId="31" fillId="0" borderId="0" xfId="4" applyFont="1"/>
    <xf numFmtId="0" fontId="9" fillId="0" borderId="0" xfId="4"/>
    <xf numFmtId="0" fontId="32" fillId="0" borderId="0" xfId="4" applyFont="1" applyAlignment="1">
      <alignment horizontal="center" vertical="center" wrapText="1"/>
    </xf>
    <xf numFmtId="0" fontId="9" fillId="0" borderId="0" xfId="4" applyAlignment="1">
      <alignment wrapText="1"/>
    </xf>
    <xf numFmtId="0" fontId="18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/>
    </xf>
    <xf numFmtId="0" fontId="9" fillId="0" borderId="0" xfId="4" applyAlignment="1"/>
    <xf numFmtId="0" fontId="9" fillId="0" borderId="0" xfId="4" applyAlignment="1">
      <alignment horizontal="center"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34" fillId="0" borderId="0" xfId="0" applyFont="1"/>
    <xf numFmtId="0" fontId="34" fillId="0" borderId="0" xfId="0" applyFont="1" applyAlignment="1">
      <alignment horizontal="center"/>
    </xf>
    <xf numFmtId="168" fontId="34" fillId="0" borderId="0" xfId="0" applyNumberFormat="1" applyFont="1" applyAlignment="1">
      <alignment horizont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8" fontId="34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11" fillId="0" borderId="0" xfId="4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4" quotePrefix="1" applyFont="1" applyAlignment="1">
      <alignment horizontal="center"/>
    </xf>
    <xf numFmtId="0" fontId="11" fillId="0" borderId="0" xfId="4" applyFont="1" applyAlignment="1">
      <alignment horizontal="center" wrapText="1"/>
    </xf>
    <xf numFmtId="0" fontId="31" fillId="0" borderId="0" xfId="4" applyFont="1" applyAlignment="1">
      <alignment horizontal="center"/>
    </xf>
    <xf numFmtId="167" fontId="31" fillId="0" borderId="0" xfId="4" applyNumberFormat="1" applyFont="1" applyAlignment="1">
      <alignment horizontal="center"/>
    </xf>
    <xf numFmtId="167" fontId="18" fillId="0" borderId="0" xfId="4" quotePrefix="1" applyNumberFormat="1" applyFont="1" applyAlignment="1">
      <alignment horizontal="center"/>
    </xf>
    <xf numFmtId="167" fontId="32" fillId="0" borderId="0" xfId="4" applyNumberFormat="1" applyFont="1" applyAlignment="1">
      <alignment horizontal="center" vertical="center" wrapText="1"/>
    </xf>
    <xf numFmtId="167" fontId="9" fillId="0" borderId="0" xfId="4" applyNumberFormat="1" applyAlignment="1">
      <alignment horizontal="center"/>
    </xf>
    <xf numFmtId="167" fontId="34" fillId="0" borderId="0" xfId="0" applyNumberFormat="1" applyFont="1" applyAlignment="1">
      <alignment horizontal="center"/>
    </xf>
    <xf numFmtId="167" fontId="34" fillId="0" borderId="0" xfId="0" applyNumberFormat="1" applyFont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 wrapText="1"/>
    </xf>
    <xf numFmtId="167" fontId="18" fillId="0" borderId="0" xfId="0" applyNumberFormat="1" applyFont="1" applyAlignment="1">
      <alignment horizontal="center" vertical="center" wrapText="1"/>
    </xf>
    <xf numFmtId="167" fontId="11" fillId="0" borderId="0" xfId="0" applyNumberFormat="1" applyFont="1" applyAlignment="1">
      <alignment horizontal="center" wrapText="1"/>
    </xf>
    <xf numFmtId="169" fontId="9" fillId="0" borderId="0" xfId="4" applyNumberFormat="1" applyAlignment="1">
      <alignment horizontal="center" wrapText="1"/>
    </xf>
    <xf numFmtId="169" fontId="9" fillId="0" borderId="0" xfId="4" applyNumberFormat="1" applyFont="1" applyAlignment="1">
      <alignment horizontal="center" wrapText="1"/>
    </xf>
    <xf numFmtId="169" fontId="9" fillId="0" borderId="0" xfId="4" applyNumberFormat="1" applyFont="1" applyAlignment="1">
      <alignment horizontal="center"/>
    </xf>
    <xf numFmtId="169" fontId="34" fillId="0" borderId="0" xfId="0" applyNumberFormat="1" applyFont="1" applyAlignment="1">
      <alignment horizontal="center"/>
    </xf>
    <xf numFmtId="164" fontId="11" fillId="0" borderId="0" xfId="4" applyNumberFormat="1" applyFont="1"/>
    <xf numFmtId="168" fontId="11" fillId="0" borderId="0" xfId="4" applyNumberFormat="1" applyFont="1"/>
    <xf numFmtId="0" fontId="11" fillId="0" borderId="0" xfId="4" applyNumberFormat="1" applyFont="1" applyAlignment="1">
      <alignment horizontal="center"/>
    </xf>
    <xf numFmtId="168" fontId="11" fillId="0" borderId="0" xfId="4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/>
    </xf>
    <xf numFmtId="169" fontId="9" fillId="0" borderId="0" xfId="4" applyNumberFormat="1" applyAlignment="1">
      <alignment horizontal="center"/>
    </xf>
    <xf numFmtId="0" fontId="34" fillId="0" borderId="0" xfId="0" applyFont="1" applyAlignment="1">
      <alignment wrapText="1"/>
    </xf>
    <xf numFmtId="167" fontId="34" fillId="0" borderId="0" xfId="0" applyNumberFormat="1" applyFont="1" applyAlignment="1">
      <alignment horizontal="center" wrapText="1"/>
    </xf>
    <xf numFmtId="0" fontId="18" fillId="0" borderId="0" xfId="4" applyFont="1" applyAlignment="1">
      <alignment horizontal="center" wrapText="1"/>
    </xf>
    <xf numFmtId="164" fontId="11" fillId="0" borderId="0" xfId="4" applyNumberFormat="1" applyFont="1" applyAlignment="1">
      <alignment wrapText="1"/>
    </xf>
    <xf numFmtId="168" fontId="11" fillId="0" borderId="0" xfId="4" applyNumberFormat="1" applyFont="1" applyAlignment="1">
      <alignment wrapText="1"/>
    </xf>
    <xf numFmtId="164" fontId="11" fillId="0" borderId="0" xfId="4" applyNumberFormat="1" applyFont="1" applyAlignment="1">
      <alignment vertical="center" wrapText="1"/>
    </xf>
    <xf numFmtId="0" fontId="4" fillId="0" borderId="3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7" fillId="0" borderId="1" xfId="0" applyFont="1" applyBorder="1" applyAlignment="1">
      <alignment horizontal="left"/>
    </xf>
    <xf numFmtId="169" fontId="11" fillId="0" borderId="0" xfId="4" applyNumberFormat="1" applyFont="1" applyAlignment="1">
      <alignment horizontal="center"/>
    </xf>
    <xf numFmtId="169" fontId="11" fillId="0" borderId="0" xfId="4" applyNumberFormat="1" applyFont="1" applyAlignment="1">
      <alignment horizontal="center" wrapText="1"/>
    </xf>
    <xf numFmtId="0" fontId="11" fillId="0" borderId="0" xfId="4" applyFont="1"/>
    <xf numFmtId="1" fontId="11" fillId="0" borderId="11" xfId="3" applyNumberFormat="1" applyFont="1" applyBorder="1"/>
    <xf numFmtId="1" fontId="11" fillId="0" borderId="14" xfId="3" applyNumberFormat="1" applyFont="1" applyBorder="1"/>
    <xf numFmtId="1" fontId="11" fillId="0" borderId="17" xfId="3" applyNumberFormat="1" applyFont="1" applyBorder="1"/>
    <xf numFmtId="1" fontId="11" fillId="0" borderId="24" xfId="3" applyNumberFormat="1" applyFont="1" applyBorder="1"/>
    <xf numFmtId="0" fontId="4" fillId="0" borderId="40" xfId="0" applyNumberFormat="1" applyFont="1" applyFill="1" applyBorder="1" applyAlignment="1" applyProtection="1">
      <alignment horizontal="center"/>
    </xf>
    <xf numFmtId="0" fontId="4" fillId="0" borderId="38" xfId="0" applyNumberFormat="1" applyFont="1" applyFill="1" applyBorder="1" applyAlignment="1" applyProtection="1">
      <alignment horizontal="center"/>
    </xf>
    <xf numFmtId="0" fontId="4" fillId="0" borderId="3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1" fillId="0" borderId="17" xfId="3" applyNumberFormat="1" applyFont="1" applyFill="1" applyBorder="1" applyAlignment="1">
      <alignment horizontal="center"/>
    </xf>
    <xf numFmtId="0" fontId="12" fillId="0" borderId="6" xfId="3" quotePrefix="1" applyFont="1" applyBorder="1" applyAlignment="1">
      <alignment horizontal="center"/>
    </xf>
    <xf numFmtId="167" fontId="37" fillId="0" borderId="6" xfId="0" applyNumberFormat="1" applyFont="1" applyBorder="1" applyAlignment="1">
      <alignment horizontal="center" vertical="center"/>
    </xf>
    <xf numFmtId="167" fontId="37" fillId="0" borderId="8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37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10" fontId="11" fillId="0" borderId="0" xfId="3" applyNumberFormat="1" applyFont="1"/>
    <xf numFmtId="0" fontId="9" fillId="0" borderId="0" xfId="0" applyFont="1" applyAlignment="1">
      <alignment vertical="center"/>
    </xf>
    <xf numFmtId="1" fontId="10" fillId="0" borderId="0" xfId="0" applyNumberFormat="1" applyFont="1" applyBorder="1" applyAlignment="1" applyProtection="1">
      <alignment horizontal="center"/>
    </xf>
    <xf numFmtId="1" fontId="10" fillId="0" borderId="10" xfId="0" applyNumberFormat="1" applyFont="1" applyBorder="1" applyProtection="1"/>
    <xf numFmtId="1" fontId="10" fillId="0" borderId="11" xfId="0" applyNumberFormat="1" applyFont="1" applyBorder="1" applyProtection="1"/>
    <xf numFmtId="1" fontId="10" fillId="0" borderId="35" xfId="0" applyNumberFormat="1" applyFont="1" applyBorder="1" applyProtection="1"/>
    <xf numFmtId="1" fontId="10" fillId="0" borderId="0" xfId="0" applyNumberFormat="1" applyFont="1" applyBorder="1" applyProtection="1"/>
    <xf numFmtId="1" fontId="10" fillId="0" borderId="0" xfId="0" applyNumberFormat="1" applyFont="1" applyBorder="1"/>
    <xf numFmtId="1" fontId="10" fillId="0" borderId="0" xfId="0" applyNumberFormat="1" applyFont="1" applyBorder="1" applyAlignment="1" applyProtection="1">
      <alignment horizontal="left"/>
    </xf>
    <xf numFmtId="1" fontId="38" fillId="0" borderId="0" xfId="0" applyNumberFormat="1" applyFont="1" applyBorder="1" applyAlignment="1" applyProtection="1">
      <alignment horizontal="center"/>
    </xf>
    <xf numFmtId="1" fontId="10" fillId="0" borderId="33" xfId="0" applyNumberFormat="1" applyFont="1" applyBorder="1" applyProtection="1"/>
    <xf numFmtId="1" fontId="10" fillId="0" borderId="17" xfId="0" applyNumberFormat="1" applyFont="1" applyBorder="1" applyProtection="1"/>
    <xf numFmtId="1" fontId="10" fillId="0" borderId="34" xfId="0" applyNumberFormat="1" applyFont="1" applyBorder="1" applyProtection="1"/>
    <xf numFmtId="10" fontId="10" fillId="0" borderId="0" xfId="0" applyNumberFormat="1" applyFont="1" applyBorder="1" applyAlignment="1" applyProtection="1">
      <alignment horizontal="center"/>
    </xf>
    <xf numFmtId="1" fontId="10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9" fillId="0" borderId="0" xfId="0" quotePrefix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1" fillId="0" borderId="0" xfId="0" applyFont="1" applyBorder="1"/>
    <xf numFmtId="10" fontId="10" fillId="0" borderId="0" xfId="0" applyNumberFormat="1" applyFont="1" applyAlignment="1">
      <alignment horizontal="center"/>
    </xf>
    <xf numFmtId="170" fontId="10" fillId="0" borderId="0" xfId="0" applyNumberFormat="1" applyFont="1" applyBorder="1"/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0" fontId="10" fillId="0" borderId="0" xfId="0" applyNumberFormat="1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38" fontId="10" fillId="0" borderId="10" xfId="0" applyNumberFormat="1" applyFont="1" applyBorder="1" applyProtection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9" fillId="0" borderId="39" xfId="5" applyFont="1" applyFill="1" applyBorder="1" applyAlignment="1">
      <alignment vertical="center"/>
    </xf>
    <xf numFmtId="166" fontId="11" fillId="0" borderId="30" xfId="3" applyNumberFormat="1" applyFont="1" applyBorder="1" applyAlignment="1">
      <alignment horizontal="center"/>
    </xf>
    <xf numFmtId="166" fontId="11" fillId="0" borderId="17" xfId="3" applyNumberFormat="1" applyFont="1" applyBorder="1" applyAlignment="1">
      <alignment horizontal="center"/>
    </xf>
    <xf numFmtId="167" fontId="11" fillId="0" borderId="30" xfId="3" applyNumberFormat="1" applyFont="1" applyBorder="1"/>
    <xf numFmtId="167" fontId="11" fillId="0" borderId="17" xfId="3" applyNumberFormat="1" applyFont="1" applyBorder="1"/>
    <xf numFmtId="167" fontId="19" fillId="0" borderId="6" xfId="0" applyNumberFormat="1" applyFont="1" applyFill="1" applyBorder="1" applyAlignment="1">
      <alignment vertical="center"/>
    </xf>
    <xf numFmtId="167" fontId="19" fillId="0" borderId="9" xfId="0" applyNumberFormat="1" applyFont="1" applyFill="1" applyBorder="1" applyAlignment="1">
      <alignment vertical="center"/>
    </xf>
    <xf numFmtId="167" fontId="19" fillId="0" borderId="8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0" fontId="11" fillId="0" borderId="0" xfId="4" applyNumberFormat="1" applyFont="1" applyAlignment="1">
      <alignment horizontal="center" wrapText="1"/>
    </xf>
    <xf numFmtId="10" fontId="11" fillId="0" borderId="0" xfId="4" applyNumberFormat="1" applyFont="1" applyAlignment="1">
      <alignment horizontal="center"/>
    </xf>
    <xf numFmtId="10" fontId="9" fillId="0" borderId="0" xfId="4" applyNumberFormat="1" applyFont="1" applyAlignment="1">
      <alignment horizontal="center" wrapText="1"/>
    </xf>
    <xf numFmtId="0" fontId="17" fillId="0" borderId="30" xfId="0" applyFont="1" applyFill="1" applyBorder="1" applyAlignment="1">
      <alignment horizontal="center" vertical="center" wrapText="1"/>
    </xf>
    <xf numFmtId="0" fontId="9" fillId="0" borderId="6" xfId="3" applyFont="1" applyBorder="1"/>
    <xf numFmtId="0" fontId="9" fillId="0" borderId="22" xfId="3" applyFont="1" applyBorder="1"/>
    <xf numFmtId="1" fontId="9" fillId="0" borderId="17" xfId="3" applyNumberFormat="1" applyFont="1" applyBorder="1" applyAlignment="1">
      <alignment horizontal="center"/>
    </xf>
    <xf numFmtId="171" fontId="11" fillId="0" borderId="24" xfId="3" applyNumberFormat="1" applyFont="1" applyBorder="1"/>
    <xf numFmtId="0" fontId="9" fillId="0" borderId="9" xfId="3" applyFont="1" applyBorder="1"/>
    <xf numFmtId="0" fontId="30" fillId="0" borderId="0" xfId="3" applyFont="1"/>
    <xf numFmtId="0" fontId="42" fillId="0" borderId="14" xfId="3" applyFont="1" applyBorder="1" applyAlignment="1">
      <alignment horizontal="center"/>
    </xf>
    <xf numFmtId="0" fontId="42" fillId="0" borderId="31" xfId="3" applyFont="1" applyBorder="1" applyAlignment="1">
      <alignment horizontal="center"/>
    </xf>
    <xf numFmtId="0" fontId="42" fillId="0" borderId="1" xfId="3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21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2" fillId="0" borderId="9" xfId="0" applyFont="1" applyFill="1" applyBorder="1" applyAlignment="1"/>
    <xf numFmtId="0" fontId="22" fillId="0" borderId="9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center"/>
    </xf>
    <xf numFmtId="0" fontId="7" fillId="0" borderId="0" xfId="0" applyFont="1" applyFill="1"/>
    <xf numFmtId="0" fontId="2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21" fillId="0" borderId="3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17" fillId="0" borderId="41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/>
    </xf>
    <xf numFmtId="0" fontId="19" fillId="0" borderId="3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9" fillId="0" borderId="30" xfId="5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/>
    </xf>
    <xf numFmtId="0" fontId="19" fillId="0" borderId="31" xfId="5" applyFont="1" applyFill="1" applyBorder="1" applyAlignment="1">
      <alignment horizontal="center" vertical="center"/>
    </xf>
    <xf numFmtId="0" fontId="17" fillId="0" borderId="41" xfId="5" applyFont="1" applyFill="1" applyBorder="1" applyAlignment="1">
      <alignment vertical="center"/>
    </xf>
    <xf numFmtId="0" fontId="17" fillId="0" borderId="40" xfId="5" applyFont="1" applyFill="1" applyBorder="1" applyAlignment="1">
      <alignment vertical="center"/>
    </xf>
    <xf numFmtId="0" fontId="17" fillId="0" borderId="38" xfId="5" applyFont="1" applyFill="1" applyBorder="1" applyAlignment="1">
      <alignment vertical="center"/>
    </xf>
    <xf numFmtId="0" fontId="30" fillId="0" borderId="1" xfId="3" applyFont="1" applyBorder="1" applyAlignment="1">
      <alignment horizontal="center"/>
    </xf>
    <xf numFmtId="0" fontId="19" fillId="4" borderId="0" xfId="5" applyFont="1" applyFill="1"/>
    <xf numFmtId="0" fontId="19" fillId="3" borderId="0" xfId="5" applyFont="1" applyFill="1"/>
    <xf numFmtId="0" fontId="19" fillId="3" borderId="0" xfId="5" applyFont="1" applyFill="1" applyAlignment="1">
      <alignment horizontal="center"/>
    </xf>
    <xf numFmtId="0" fontId="31" fillId="0" borderId="0" xfId="4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4" quotePrefix="1" applyFont="1" applyAlignment="1"/>
    <xf numFmtId="0" fontId="9" fillId="0" borderId="12" xfId="3" applyFont="1" applyBorder="1"/>
    <xf numFmtId="0" fontId="30" fillId="0" borderId="14" xfId="3" applyFont="1" applyBorder="1" applyAlignment="1">
      <alignment horizontal="center"/>
    </xf>
    <xf numFmtId="0" fontId="6" fillId="0" borderId="0" xfId="0" applyFont="1" applyFill="1" applyBorder="1" applyAlignment="1"/>
    <xf numFmtId="0" fontId="21" fillId="0" borderId="0" xfId="0" quotePrefix="1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9" fillId="0" borderId="0" xfId="5" applyFont="1" applyFill="1" applyAlignment="1">
      <alignment horizontal="center" vertical="center"/>
    </xf>
    <xf numFmtId="0" fontId="9" fillId="0" borderId="0" xfId="4" applyFont="1" applyAlignment="1">
      <alignment horizontal="left" wrapText="1"/>
    </xf>
    <xf numFmtId="0" fontId="19" fillId="0" borderId="39" xfId="5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6" fillId="0" borderId="40" xfId="0" applyFont="1" applyFill="1" applyBorder="1" applyAlignment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11" fillId="0" borderId="11" xfId="3" applyFont="1" applyBorder="1" applyAlignment="1">
      <alignment horizontal="center"/>
    </xf>
    <xf numFmtId="0" fontId="19" fillId="0" borderId="0" xfId="5" applyFont="1" applyFill="1" applyAlignment="1">
      <alignment horizontal="center" vertical="center"/>
    </xf>
    <xf numFmtId="1" fontId="18" fillId="0" borderId="0" xfId="4" applyNumberFormat="1" applyFont="1" applyAlignment="1">
      <alignment horizontal="center"/>
    </xf>
    <xf numFmtId="1" fontId="18" fillId="0" borderId="0" xfId="4" quotePrefix="1" applyNumberFormat="1" applyFont="1" applyAlignment="1">
      <alignment horizontal="center"/>
    </xf>
    <xf numFmtId="1" fontId="18" fillId="0" borderId="0" xfId="4" applyNumberFormat="1" applyFont="1" applyAlignment="1">
      <alignment horizontal="center" vertical="center" wrapText="1"/>
    </xf>
    <xf numFmtId="1" fontId="11" fillId="0" borderId="0" xfId="4" applyNumberFormat="1" applyFont="1" applyAlignment="1">
      <alignment horizontal="center" wrapText="1"/>
    </xf>
    <xf numFmtId="1" fontId="11" fillId="0" borderId="0" xfId="4" applyNumberFormat="1" applyFont="1" applyAlignment="1">
      <alignment horizontal="center"/>
    </xf>
    <xf numFmtId="1" fontId="11" fillId="0" borderId="0" xfId="4" applyNumberFormat="1" applyFont="1" applyAlignment="1">
      <alignment vertical="center" wrapText="1"/>
    </xf>
    <xf numFmtId="0" fontId="30" fillId="0" borderId="24" xfId="3" applyFont="1" applyBorder="1" applyAlignment="1">
      <alignment horizontal="center"/>
    </xf>
    <xf numFmtId="0" fontId="18" fillId="0" borderId="0" xfId="5" applyFont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18" fillId="0" borderId="0" xfId="5" applyFont="1" applyAlignment="1">
      <alignment horizontal="center"/>
    </xf>
    <xf numFmtId="0" fontId="18" fillId="0" borderId="37" xfId="5" applyFont="1" applyBorder="1" applyAlignment="1">
      <alignment horizontal="center"/>
    </xf>
    <xf numFmtId="0" fontId="9" fillId="0" borderId="37" xfId="5" applyBorder="1" applyAlignment="1">
      <alignment horizontal="center"/>
    </xf>
    <xf numFmtId="0" fontId="9" fillId="0" borderId="7" xfId="5" applyBorder="1" applyAlignment="1">
      <alignment horizontal="center"/>
    </xf>
    <xf numFmtId="0" fontId="9" fillId="0" borderId="31" xfId="5" applyBorder="1" applyAlignment="1">
      <alignment horizontal="center"/>
    </xf>
    <xf numFmtId="0" fontId="9" fillId="0" borderId="4" xfId="5" applyBorder="1" applyAlignment="1">
      <alignment horizontal="center"/>
    </xf>
    <xf numFmtId="0" fontId="9" fillId="0" borderId="1" xfId="5" applyBorder="1" applyAlignment="1">
      <alignment horizontal="center"/>
    </xf>
    <xf numFmtId="0" fontId="9" fillId="0" borderId="5" xfId="5" applyBorder="1" applyAlignment="1">
      <alignment horizontal="center"/>
    </xf>
    <xf numFmtId="0" fontId="9" fillId="0" borderId="3" xfId="5" applyBorder="1"/>
    <xf numFmtId="0" fontId="9" fillId="0" borderId="7" xfId="5" applyFont="1" applyBorder="1" applyAlignment="1">
      <alignment horizontal="center"/>
    </xf>
    <xf numFmtId="0" fontId="9" fillId="0" borderId="31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9" fillId="0" borderId="1" xfId="5" applyFont="1" applyBorder="1" applyAlignment="1">
      <alignment horizontal="center"/>
    </xf>
    <xf numFmtId="0" fontId="9" fillId="0" borderId="5" xfId="5" applyBorder="1"/>
    <xf numFmtId="0" fontId="9" fillId="0" borderId="3" xfId="5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19" fillId="5" borderId="0" xfId="5" applyFont="1" applyFill="1"/>
    <xf numFmtId="0" fontId="19" fillId="0" borderId="0" xfId="0" applyFont="1" applyAlignment="1">
      <alignment horizontal="right" vertical="center"/>
    </xf>
    <xf numFmtId="0" fontId="19" fillId="0" borderId="40" xfId="0" applyFont="1" applyBorder="1" applyAlignment="1">
      <alignment horizontal="center" vertical="center"/>
    </xf>
    <xf numFmtId="0" fontId="11" fillId="0" borderId="11" xfId="3" applyFont="1" applyBorder="1" applyAlignment="1">
      <alignment horizontal="center"/>
    </xf>
    <xf numFmtId="0" fontId="45" fillId="0" borderId="22" xfId="3" applyFont="1" applyBorder="1" applyAlignment="1">
      <alignment horizontal="center"/>
    </xf>
    <xf numFmtId="0" fontId="18" fillId="0" borderId="0" xfId="5" applyFont="1" applyAlignment="1">
      <alignment horizontal="center"/>
    </xf>
    <xf numFmtId="0" fontId="9" fillId="0" borderId="40" xfId="5" applyBorder="1"/>
    <xf numFmtId="0" fontId="9" fillId="0" borderId="0" xfId="5" applyFill="1" applyAlignment="1">
      <alignment horizontal="center"/>
    </xf>
    <xf numFmtId="0" fontId="18" fillId="0" borderId="37" xfId="5" applyFont="1" applyFill="1" applyBorder="1" applyAlignment="1">
      <alignment horizontal="center"/>
    </xf>
    <xf numFmtId="0" fontId="9" fillId="0" borderId="31" xfId="5" applyFill="1" applyBorder="1" applyAlignment="1">
      <alignment horizontal="center"/>
    </xf>
    <xf numFmtId="0" fontId="9" fillId="0" borderId="1" xfId="5" applyFill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9" fillId="0" borderId="3" xfId="5" applyFill="1" applyBorder="1"/>
    <xf numFmtId="0" fontId="9" fillId="0" borderId="40" xfId="5" applyFill="1" applyBorder="1"/>
    <xf numFmtId="0" fontId="9" fillId="0" borderId="0" xfId="5" applyFill="1"/>
    <xf numFmtId="10" fontId="19" fillId="0" borderId="0" xfId="0" applyNumberFormat="1" applyFont="1" applyFill="1" applyBorder="1" applyAlignment="1">
      <alignment horizontal="center" vertical="center"/>
    </xf>
    <xf numFmtId="10" fontId="19" fillId="0" borderId="2" xfId="0" applyNumberFormat="1" applyFont="1" applyFill="1" applyBorder="1" applyAlignment="1">
      <alignment horizontal="center" vertical="center"/>
    </xf>
    <xf numFmtId="10" fontId="19" fillId="0" borderId="2" xfId="0" applyNumberFormat="1" applyFont="1" applyBorder="1" applyAlignment="1">
      <alignment horizontal="center" vertical="center"/>
    </xf>
    <xf numFmtId="10" fontId="19" fillId="0" borderId="9" xfId="0" applyNumberFormat="1" applyFont="1" applyFill="1" applyBorder="1" applyAlignment="1">
      <alignment vertical="center"/>
    </xf>
    <xf numFmtId="0" fontId="19" fillId="0" borderId="0" xfId="5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47" fillId="0" borderId="0" xfId="0" applyFont="1" applyBorder="1"/>
    <xf numFmtId="0" fontId="10" fillId="0" borderId="0" xfId="0" applyFont="1" applyFill="1" applyBorder="1"/>
    <xf numFmtId="165" fontId="10" fillId="0" borderId="1" xfId="0" applyNumberFormat="1" applyFont="1" applyFill="1" applyBorder="1" applyAlignment="1">
      <alignment horizontal="center"/>
    </xf>
    <xf numFmtId="0" fontId="47" fillId="0" borderId="0" xfId="0" applyFont="1" applyFill="1" applyBorder="1"/>
    <xf numFmtId="0" fontId="10" fillId="0" borderId="5" xfId="0" applyFont="1" applyBorder="1" applyAlignment="1">
      <alignment horizontal="center"/>
    </xf>
    <xf numFmtId="0" fontId="10" fillId="0" borderId="2" xfId="0" applyFont="1" applyFill="1" applyBorder="1"/>
    <xf numFmtId="165" fontId="10" fillId="0" borderId="3" xfId="0" applyNumberFormat="1" applyFont="1" applyFill="1" applyBorder="1" applyAlignment="1">
      <alignment horizontal="center"/>
    </xf>
    <xf numFmtId="0" fontId="10" fillId="0" borderId="2" xfId="0" applyFont="1" applyBorder="1"/>
    <xf numFmtId="165" fontId="10" fillId="0" borderId="3" xfId="0" applyNumberFormat="1" applyFont="1" applyBorder="1" applyAlignment="1">
      <alignment horizontal="center"/>
    </xf>
    <xf numFmtId="0" fontId="10" fillId="0" borderId="5" xfId="0" applyFont="1" applyBorder="1"/>
    <xf numFmtId="0" fontId="10" fillId="0" borderId="3" xfId="0" applyFont="1" applyBorder="1" applyAlignment="1">
      <alignment horizontal="center"/>
    </xf>
    <xf numFmtId="0" fontId="19" fillId="0" borderId="2" xfId="5" applyFont="1" applyFill="1" applyBorder="1" applyAlignment="1">
      <alignment horizontal="center" vertical="center"/>
    </xf>
    <xf numFmtId="0" fontId="19" fillId="0" borderId="9" xfId="5" applyFont="1" applyFill="1" applyBorder="1" applyAlignment="1">
      <alignment horizontal="center" vertical="center"/>
    </xf>
    <xf numFmtId="0" fontId="19" fillId="0" borderId="9" xfId="5" applyFont="1" applyFill="1" applyBorder="1" applyAlignment="1">
      <alignment horizontal="center" vertical="center" wrapText="1"/>
    </xf>
    <xf numFmtId="0" fontId="19" fillId="0" borderId="9" xfId="2" applyFont="1" applyFill="1" applyBorder="1" applyAlignment="1" applyProtection="1">
      <alignment horizontal="center" vertical="center" wrapText="1"/>
    </xf>
    <xf numFmtId="0" fontId="19" fillId="0" borderId="8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 applyAlignment="1" applyProtection="1">
      <alignment horizontal="center" vertical="center" wrapText="1"/>
    </xf>
    <xf numFmtId="0" fontId="19" fillId="0" borderId="7" xfId="5" applyFont="1" applyFill="1" applyBorder="1" applyAlignment="1">
      <alignment horizontal="center" vertical="center"/>
    </xf>
    <xf numFmtId="0" fontId="19" fillId="0" borderId="4" xfId="5" applyFont="1" applyFill="1" applyBorder="1" applyAlignment="1">
      <alignment horizontal="center" vertical="center"/>
    </xf>
    <xf numFmtId="0" fontId="19" fillId="0" borderId="5" xfId="5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7" xfId="0" quotePrefix="1" applyFont="1" applyBorder="1" applyAlignment="1">
      <alignment horizontal="center"/>
    </xf>
    <xf numFmtId="0" fontId="47" fillId="0" borderId="30" xfId="0" quotePrefix="1" applyFont="1" applyBorder="1" applyAlignment="1">
      <alignment horizontal="center"/>
    </xf>
    <xf numFmtId="0" fontId="47" fillId="0" borderId="31" xfId="0" quotePrefix="1" applyFont="1" applyBorder="1" applyAlignment="1">
      <alignment horizontal="center"/>
    </xf>
    <xf numFmtId="0" fontId="11" fillId="0" borderId="13" xfId="3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35" xfId="3" applyFont="1" applyBorder="1" applyAlignment="1">
      <alignment horizontal="center"/>
    </xf>
    <xf numFmtId="0" fontId="18" fillId="0" borderId="0" xfId="5" applyFont="1" applyAlignment="1">
      <alignment horizontal="center"/>
    </xf>
    <xf numFmtId="0" fontId="19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17" fillId="0" borderId="41" xfId="5" applyFont="1" applyFill="1" applyBorder="1" applyAlignment="1">
      <alignment horizontal="center"/>
    </xf>
    <xf numFmtId="0" fontId="17" fillId="0" borderId="40" xfId="5" applyFont="1" applyFill="1" applyBorder="1" applyAlignment="1">
      <alignment horizontal="center"/>
    </xf>
    <xf numFmtId="0" fontId="17" fillId="0" borderId="38" xfId="5" applyFont="1" applyFill="1" applyBorder="1" applyAlignment="1">
      <alignment horizontal="center"/>
    </xf>
    <xf numFmtId="0" fontId="17" fillId="0" borderId="41" xfId="5" applyFont="1" applyFill="1" applyBorder="1" applyAlignment="1">
      <alignment horizontal="center" vertical="center" wrapText="1"/>
    </xf>
    <xf numFmtId="0" fontId="17" fillId="0" borderId="40" xfId="5" applyFont="1" applyFill="1" applyBorder="1" applyAlignment="1">
      <alignment horizontal="center" vertical="center" wrapText="1"/>
    </xf>
  </cellXfs>
  <cellStyles count="6">
    <cellStyle name="Hyperlink" xfId="1" builtinId="8"/>
    <cellStyle name="Hyperlink_Small Chorus Award" xfId="2" xr:uid="{00000000-0005-0000-0000-000001000000}"/>
    <cellStyle name="Normal" xfId="0" builtinId="0"/>
    <cellStyle name="Normal_Chorus Results" xfId="3" xr:uid="{00000000-0005-0000-0000-000003000000}"/>
    <cellStyle name="Normal_Most Improved Chorus Award - 2011" xfId="4" xr:uid="{00000000-0005-0000-0000-000004000000}"/>
    <cellStyle name="Normal_Small Chorus Award" xfId="5" xr:uid="{00000000-0005-0000-0000-000005000000}"/>
  </cellStyles>
  <dxfs count="0"/>
  <tableStyles count="0" defaultTableStyle="TableStyleMedium2" defaultPivotStyle="PivotStyleLight16"/>
  <colors>
    <mruColors>
      <color rgb="FFCCFFFF"/>
      <color rgb="FF3333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dgechordco.org.uk/" TargetMode="External"/><Relationship Id="rId2" Type="http://schemas.openxmlformats.org/officeDocument/2006/relationships/hyperlink" Target="http://www.cambridgechordco.org.uk/" TargetMode="External"/><Relationship Id="rId1" Type="http://schemas.openxmlformats.org/officeDocument/2006/relationships/hyperlink" Target="http://www.cambridgechordco.org.uk/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dgechordco.org.uk/" TargetMode="External"/><Relationship Id="rId2" Type="http://schemas.openxmlformats.org/officeDocument/2006/relationships/hyperlink" Target="http://www.cambridgechordco.org.uk/" TargetMode="External"/><Relationship Id="rId1" Type="http://schemas.openxmlformats.org/officeDocument/2006/relationships/hyperlink" Target="http://www.cambridgechordco.org.uk/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mbridgechordco.org.uk/" TargetMode="External"/><Relationship Id="rId2" Type="http://schemas.openxmlformats.org/officeDocument/2006/relationships/hyperlink" Target="http://www.cambridgechordco.org.uk/" TargetMode="External"/><Relationship Id="rId1" Type="http://schemas.openxmlformats.org/officeDocument/2006/relationships/hyperlink" Target="http://www.cambridgechordco.org.uk/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harmonize.ws/HarmonetReporter/scores/scormai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3"/>
  <sheetViews>
    <sheetView zoomScale="120" zoomScaleNormal="12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2" sqref="A12"/>
    </sheetView>
  </sheetViews>
  <sheetFormatPr defaultColWidth="9" defaultRowHeight="12.9" customHeight="1" x14ac:dyDescent="0.2"/>
  <cols>
    <col min="1" max="1" width="4.109375" style="1" customWidth="1"/>
    <col min="2" max="2" width="2.33203125" style="1" customWidth="1"/>
    <col min="3" max="3" width="13" style="508" customWidth="1"/>
    <col min="4" max="4" width="12.109375" style="508" customWidth="1"/>
    <col min="5" max="5" width="10.109375" style="1" customWidth="1"/>
    <col min="6" max="6" width="10.21875" style="1" customWidth="1"/>
    <col min="7" max="7" width="10.88671875" style="1" customWidth="1"/>
    <col min="8" max="8" width="10.21875" style="1" customWidth="1"/>
    <col min="9" max="9" width="11.6640625" style="508" customWidth="1"/>
    <col min="10" max="10" width="11.88671875" style="508" customWidth="1"/>
    <col min="11" max="12" width="10.33203125" style="1" customWidth="1"/>
    <col min="13" max="14" width="9.88671875" style="1" customWidth="1"/>
    <col min="15" max="15" width="13" style="508" customWidth="1"/>
    <col min="16" max="16" width="12.77734375" style="508" customWidth="1"/>
    <col min="17" max="17" width="11.21875" style="495" customWidth="1"/>
    <col min="18" max="19" width="10.109375" style="495" customWidth="1"/>
    <col min="20" max="20" width="10.21875" style="495" customWidth="1"/>
    <col min="21" max="16384" width="9" style="495"/>
  </cols>
  <sheetData>
    <row r="1" spans="1:20" ht="12.9" customHeight="1" x14ac:dyDescent="0.2">
      <c r="A1" s="493" t="s">
        <v>2012</v>
      </c>
      <c r="B1" s="494"/>
      <c r="C1" s="675" t="s">
        <v>2013</v>
      </c>
      <c r="D1" s="676"/>
      <c r="E1" s="676"/>
      <c r="F1" s="676"/>
      <c r="G1" s="676"/>
      <c r="H1" s="677"/>
      <c r="I1" s="675" t="s">
        <v>2014</v>
      </c>
      <c r="J1" s="676"/>
      <c r="K1" s="676"/>
      <c r="L1" s="676"/>
      <c r="M1" s="676"/>
      <c r="N1" s="677"/>
      <c r="O1" s="675" t="s">
        <v>2015</v>
      </c>
      <c r="P1" s="676"/>
      <c r="Q1" s="676"/>
      <c r="R1" s="676"/>
      <c r="S1" s="676"/>
      <c r="T1" s="677"/>
    </row>
    <row r="2" spans="1:20" ht="12.9" customHeight="1" x14ac:dyDescent="0.2">
      <c r="A2" s="496"/>
      <c r="B2" s="9"/>
      <c r="C2" s="497" t="s">
        <v>2016</v>
      </c>
      <c r="D2" s="498" t="s">
        <v>3376</v>
      </c>
      <c r="E2" s="4" t="s">
        <v>2017</v>
      </c>
      <c r="F2" s="4" t="s">
        <v>2018</v>
      </c>
      <c r="G2" s="4" t="s">
        <v>2019</v>
      </c>
      <c r="H2" s="5" t="s">
        <v>2020</v>
      </c>
      <c r="I2" s="497" t="s">
        <v>2016</v>
      </c>
      <c r="J2" s="498" t="s">
        <v>3376</v>
      </c>
      <c r="K2" s="4" t="s">
        <v>2017</v>
      </c>
      <c r="L2" s="4" t="s">
        <v>2018</v>
      </c>
      <c r="M2" s="4" t="s">
        <v>2019</v>
      </c>
      <c r="N2" s="5" t="s">
        <v>2020</v>
      </c>
      <c r="O2" s="497" t="s">
        <v>2016</v>
      </c>
      <c r="P2" s="498" t="s">
        <v>3376</v>
      </c>
      <c r="Q2" s="4" t="s">
        <v>2017</v>
      </c>
      <c r="R2" s="4" t="s">
        <v>2018</v>
      </c>
      <c r="S2" s="4" t="s">
        <v>2019</v>
      </c>
      <c r="T2" s="5" t="s">
        <v>2020</v>
      </c>
    </row>
    <row r="3" spans="1:20" ht="12.9" customHeight="1" x14ac:dyDescent="0.2">
      <c r="A3" s="10" t="s">
        <v>2021</v>
      </c>
      <c r="B3" s="10">
        <v>14</v>
      </c>
      <c r="C3" s="197" t="s">
        <v>2022</v>
      </c>
      <c r="D3" s="197" t="s">
        <v>2023</v>
      </c>
      <c r="E3" s="1" t="s">
        <v>2024</v>
      </c>
      <c r="F3" s="2" t="s">
        <v>2025</v>
      </c>
      <c r="G3" s="2" t="s">
        <v>2026</v>
      </c>
      <c r="H3" s="2" t="s">
        <v>2027</v>
      </c>
      <c r="I3" s="405" t="s">
        <v>2028</v>
      </c>
      <c r="J3" s="499" t="s">
        <v>2029</v>
      </c>
      <c r="K3" s="2" t="s">
        <v>2030</v>
      </c>
      <c r="L3" s="2" t="s">
        <v>2031</v>
      </c>
      <c r="M3" s="2" t="s">
        <v>2032</v>
      </c>
      <c r="N3" s="2" t="s">
        <v>2033</v>
      </c>
      <c r="O3" s="405" t="s">
        <v>2034</v>
      </c>
      <c r="P3" s="499" t="s">
        <v>2035</v>
      </c>
      <c r="Q3" s="518" t="s">
        <v>573</v>
      </c>
      <c r="R3" s="417" t="s">
        <v>2036</v>
      </c>
      <c r="S3" s="417" t="s">
        <v>2037</v>
      </c>
      <c r="T3" s="404" t="s">
        <v>2038</v>
      </c>
    </row>
    <row r="4" spans="1:20" ht="12.9" customHeight="1" x14ac:dyDescent="0.2">
      <c r="A4" s="10" t="s">
        <v>2039</v>
      </c>
      <c r="B4" s="10">
        <v>22</v>
      </c>
      <c r="C4" s="197" t="s">
        <v>2040</v>
      </c>
      <c r="D4" s="197" t="s">
        <v>2041</v>
      </c>
      <c r="E4" s="2" t="s">
        <v>573</v>
      </c>
      <c r="F4" s="2" t="s">
        <v>2036</v>
      </c>
      <c r="G4" s="2" t="s">
        <v>2037</v>
      </c>
      <c r="H4" s="3" t="s">
        <v>2038</v>
      </c>
      <c r="I4" s="405" t="s">
        <v>574</v>
      </c>
      <c r="J4" s="197" t="s">
        <v>2029</v>
      </c>
      <c r="K4" s="1" t="s">
        <v>575</v>
      </c>
      <c r="L4" s="1" t="s">
        <v>182</v>
      </c>
      <c r="M4" s="1" t="s">
        <v>576</v>
      </c>
      <c r="N4" s="1" t="s">
        <v>577</v>
      </c>
      <c r="O4" s="405" t="s">
        <v>578</v>
      </c>
      <c r="P4" s="197" t="s">
        <v>579</v>
      </c>
      <c r="Q4" s="7" t="s">
        <v>580</v>
      </c>
      <c r="R4" s="2" t="s">
        <v>581</v>
      </c>
      <c r="S4" s="2" t="s">
        <v>582</v>
      </c>
      <c r="T4" s="3" t="s">
        <v>583</v>
      </c>
    </row>
    <row r="5" spans="1:20" ht="12.9" customHeight="1" x14ac:dyDescent="0.2">
      <c r="A5" s="10" t="s">
        <v>584</v>
      </c>
      <c r="B5" s="10">
        <v>30</v>
      </c>
      <c r="C5" s="197" t="s">
        <v>578</v>
      </c>
      <c r="D5" s="197" t="s">
        <v>579</v>
      </c>
      <c r="E5" s="1" t="s">
        <v>585</v>
      </c>
      <c r="F5" s="1" t="s">
        <v>581</v>
      </c>
      <c r="G5" s="1" t="s">
        <v>582</v>
      </c>
      <c r="H5" s="1" t="s">
        <v>586</v>
      </c>
      <c r="I5" s="405" t="s">
        <v>574</v>
      </c>
      <c r="J5" s="197" t="s">
        <v>2029</v>
      </c>
      <c r="K5" s="1" t="s">
        <v>587</v>
      </c>
      <c r="L5" s="1" t="s">
        <v>2265</v>
      </c>
      <c r="M5" s="1" t="s">
        <v>589</v>
      </c>
      <c r="N5" s="1" t="s">
        <v>590</v>
      </c>
      <c r="O5" s="405" t="s">
        <v>591</v>
      </c>
      <c r="P5" s="197" t="s">
        <v>2029</v>
      </c>
      <c r="Q5" s="7" t="s">
        <v>592</v>
      </c>
      <c r="R5" s="2" t="s">
        <v>593</v>
      </c>
      <c r="S5" s="2" t="s">
        <v>594</v>
      </c>
      <c r="T5" s="3" t="s">
        <v>595</v>
      </c>
    </row>
    <row r="6" spans="1:20" ht="12.9" customHeight="1" x14ac:dyDescent="0.2">
      <c r="A6" s="10" t="s">
        <v>596</v>
      </c>
      <c r="B6" s="10">
        <v>28</v>
      </c>
      <c r="C6" s="197" t="s">
        <v>574</v>
      </c>
      <c r="D6" s="197" t="s">
        <v>2029</v>
      </c>
      <c r="E6" s="1" t="s">
        <v>597</v>
      </c>
      <c r="F6" s="1" t="s">
        <v>588</v>
      </c>
      <c r="G6" s="1" t="s">
        <v>513</v>
      </c>
      <c r="H6" s="1" t="s">
        <v>514</v>
      </c>
      <c r="I6" s="405" t="s">
        <v>515</v>
      </c>
      <c r="J6" s="197" t="s">
        <v>2029</v>
      </c>
      <c r="K6" s="1" t="s">
        <v>592</v>
      </c>
      <c r="L6" s="1" t="s">
        <v>593</v>
      </c>
      <c r="M6" s="1" t="s">
        <v>594</v>
      </c>
      <c r="N6" s="1" t="s">
        <v>595</v>
      </c>
      <c r="O6" s="405" t="s">
        <v>516</v>
      </c>
      <c r="P6" s="197" t="s">
        <v>517</v>
      </c>
      <c r="Q6" s="7" t="s">
        <v>3199</v>
      </c>
      <c r="R6" s="2" t="s">
        <v>3200</v>
      </c>
      <c r="S6" s="2" t="s">
        <v>3201</v>
      </c>
      <c r="T6" s="3" t="s">
        <v>3202</v>
      </c>
    </row>
    <row r="7" spans="1:20" ht="12.9" customHeight="1" x14ac:dyDescent="0.2">
      <c r="A7" s="10" t="s">
        <v>3203</v>
      </c>
      <c r="B7" s="10">
        <v>16</v>
      </c>
      <c r="C7" s="197" t="s">
        <v>515</v>
      </c>
      <c r="D7" s="197" t="s">
        <v>2029</v>
      </c>
      <c r="E7" s="1" t="s">
        <v>592</v>
      </c>
      <c r="F7" s="1" t="s">
        <v>593</v>
      </c>
      <c r="G7" s="1" t="s">
        <v>594</v>
      </c>
      <c r="H7" s="1" t="s">
        <v>595</v>
      </c>
      <c r="I7" s="405" t="s">
        <v>3204</v>
      </c>
      <c r="J7" s="197" t="s">
        <v>2029</v>
      </c>
      <c r="K7" s="2" t="s">
        <v>3205</v>
      </c>
      <c r="L7" s="2" t="s">
        <v>3206</v>
      </c>
      <c r="M7" s="2" t="s">
        <v>3207</v>
      </c>
      <c r="N7" s="2" t="s">
        <v>3208</v>
      </c>
      <c r="O7" s="405" t="s">
        <v>516</v>
      </c>
      <c r="P7" s="197" t="s">
        <v>517</v>
      </c>
      <c r="Q7" s="7" t="s">
        <v>3209</v>
      </c>
      <c r="R7" s="2" t="s">
        <v>3210</v>
      </c>
      <c r="S7" s="2" t="s">
        <v>3211</v>
      </c>
      <c r="T7" s="3" t="s">
        <v>3212</v>
      </c>
    </row>
    <row r="8" spans="1:20" ht="12.9" customHeight="1" x14ac:dyDescent="0.2">
      <c r="A8" s="500" t="s">
        <v>3213</v>
      </c>
      <c r="B8" s="500"/>
      <c r="C8" s="501" t="s">
        <v>3214</v>
      </c>
      <c r="D8" s="197" t="s">
        <v>3215</v>
      </c>
      <c r="E8" s="1" t="s">
        <v>3215</v>
      </c>
      <c r="F8" s="1" t="s">
        <v>3215</v>
      </c>
      <c r="G8" s="1" t="s">
        <v>3215</v>
      </c>
      <c r="H8" s="1" t="s">
        <v>3215</v>
      </c>
      <c r="I8" s="405" t="s">
        <v>3215</v>
      </c>
      <c r="J8" s="197" t="s">
        <v>3215</v>
      </c>
      <c r="K8" s="2" t="s">
        <v>3215</v>
      </c>
      <c r="L8" s="2" t="s">
        <v>3215</v>
      </c>
      <c r="M8" s="2" t="s">
        <v>3215</v>
      </c>
      <c r="N8" s="2" t="s">
        <v>3215</v>
      </c>
      <c r="O8" s="405" t="s">
        <v>3215</v>
      </c>
      <c r="P8" s="197" t="s">
        <v>3215</v>
      </c>
      <c r="Q8" s="7" t="s">
        <v>3215</v>
      </c>
      <c r="R8" s="2" t="s">
        <v>3215</v>
      </c>
      <c r="S8" s="2" t="s">
        <v>3215</v>
      </c>
      <c r="T8" s="3" t="s">
        <v>3215</v>
      </c>
    </row>
    <row r="9" spans="1:20" ht="12.9" customHeight="1" x14ac:dyDescent="0.2">
      <c r="A9" s="500">
        <v>1979</v>
      </c>
      <c r="B9" s="500"/>
      <c r="C9" s="502" t="s">
        <v>3216</v>
      </c>
      <c r="D9" s="197" t="s">
        <v>3217</v>
      </c>
      <c r="E9" s="1" t="s">
        <v>3218</v>
      </c>
      <c r="F9" s="1" t="s">
        <v>3219</v>
      </c>
      <c r="G9" s="1" t="s">
        <v>3220</v>
      </c>
      <c r="H9" s="1" t="s">
        <v>586</v>
      </c>
      <c r="I9" s="405" t="s">
        <v>549</v>
      </c>
      <c r="J9" s="197" t="s">
        <v>550</v>
      </c>
      <c r="K9" s="2" t="s">
        <v>551</v>
      </c>
      <c r="L9" s="2" t="s">
        <v>552</v>
      </c>
      <c r="M9" s="2" t="s">
        <v>553</v>
      </c>
      <c r="N9" s="2" t="s">
        <v>1455</v>
      </c>
      <c r="O9" s="405" t="s">
        <v>554</v>
      </c>
      <c r="P9" s="197" t="s">
        <v>555</v>
      </c>
      <c r="Q9" s="7" t="s">
        <v>556</v>
      </c>
      <c r="R9" s="2" t="s">
        <v>3918</v>
      </c>
      <c r="S9" s="2" t="s">
        <v>558</v>
      </c>
      <c r="T9" s="3" t="s">
        <v>557</v>
      </c>
    </row>
    <row r="10" spans="1:20" ht="12.9" customHeight="1" x14ac:dyDescent="0.2">
      <c r="A10" s="10" t="s">
        <v>4066</v>
      </c>
      <c r="B10" s="10">
        <v>21</v>
      </c>
      <c r="C10" s="197" t="s">
        <v>4067</v>
      </c>
      <c r="D10" s="197" t="s">
        <v>4230</v>
      </c>
      <c r="E10" s="1" t="s">
        <v>4231</v>
      </c>
      <c r="F10" s="1" t="s">
        <v>4232</v>
      </c>
      <c r="G10" s="1" t="s">
        <v>4233</v>
      </c>
      <c r="H10" s="1" t="s">
        <v>4234</v>
      </c>
      <c r="I10" s="405" t="s">
        <v>516</v>
      </c>
      <c r="J10" s="197" t="s">
        <v>517</v>
      </c>
      <c r="K10" s="2" t="s">
        <v>4235</v>
      </c>
      <c r="L10" s="2" t="s">
        <v>4236</v>
      </c>
      <c r="M10" s="2" t="s">
        <v>4237</v>
      </c>
      <c r="N10" s="3" t="s">
        <v>4238</v>
      </c>
      <c r="O10" s="405" t="s">
        <v>3217</v>
      </c>
      <c r="P10" s="197" t="s">
        <v>579</v>
      </c>
      <c r="Q10" s="7" t="s">
        <v>3218</v>
      </c>
      <c r="R10" s="2" t="s">
        <v>3219</v>
      </c>
      <c r="S10" s="2" t="s">
        <v>3220</v>
      </c>
      <c r="T10" s="3" t="s">
        <v>4239</v>
      </c>
    </row>
    <row r="11" spans="1:20" ht="12.9" customHeight="1" x14ac:dyDescent="0.2">
      <c r="A11" s="10" t="s">
        <v>4240</v>
      </c>
      <c r="B11" s="10">
        <v>31</v>
      </c>
      <c r="C11" s="197" t="s">
        <v>4241</v>
      </c>
      <c r="D11" s="197" t="s">
        <v>4242</v>
      </c>
      <c r="E11" s="1" t="s">
        <v>3205</v>
      </c>
      <c r="F11" s="1" t="s">
        <v>4243</v>
      </c>
      <c r="G11" s="1" t="s">
        <v>3207</v>
      </c>
      <c r="H11" s="1" t="s">
        <v>4244</v>
      </c>
      <c r="I11" s="405" t="s">
        <v>549</v>
      </c>
      <c r="J11" s="197" t="s">
        <v>550</v>
      </c>
      <c r="K11" s="2" t="s">
        <v>4245</v>
      </c>
      <c r="L11" s="2" t="s">
        <v>4246</v>
      </c>
      <c r="M11" s="2" t="s">
        <v>4247</v>
      </c>
      <c r="N11" s="2" t="s">
        <v>1456</v>
      </c>
      <c r="O11" s="405" t="s">
        <v>4248</v>
      </c>
      <c r="P11" s="197" t="s">
        <v>4249</v>
      </c>
      <c r="Q11" s="7" t="s">
        <v>4250</v>
      </c>
      <c r="R11" s="2" t="s">
        <v>4251</v>
      </c>
      <c r="S11" s="2" t="s">
        <v>4252</v>
      </c>
      <c r="T11" s="3" t="s">
        <v>4253</v>
      </c>
    </row>
    <row r="12" spans="1:20" ht="12.9" customHeight="1" x14ac:dyDescent="0.2">
      <c r="A12" s="10" t="s">
        <v>4254</v>
      </c>
      <c r="B12" s="10">
        <v>23</v>
      </c>
      <c r="C12" s="197" t="s">
        <v>4255</v>
      </c>
      <c r="D12" s="197" t="s">
        <v>4256</v>
      </c>
      <c r="E12" s="1" t="s">
        <v>4257</v>
      </c>
      <c r="F12" s="1" t="s">
        <v>4258</v>
      </c>
      <c r="G12" s="1" t="s">
        <v>4259</v>
      </c>
      <c r="H12" s="1" t="s">
        <v>4260</v>
      </c>
      <c r="I12" s="405" t="s">
        <v>3217</v>
      </c>
      <c r="J12" s="197" t="s">
        <v>579</v>
      </c>
      <c r="K12" s="2" t="s">
        <v>4261</v>
      </c>
      <c r="L12" s="2" t="s">
        <v>3219</v>
      </c>
      <c r="M12" s="2" t="s">
        <v>4262</v>
      </c>
      <c r="N12" s="3" t="s">
        <v>4263</v>
      </c>
      <c r="O12" s="405" t="s">
        <v>4248</v>
      </c>
      <c r="P12" s="197" t="s">
        <v>4249</v>
      </c>
      <c r="Q12" s="7" t="s">
        <v>4093</v>
      </c>
      <c r="R12" s="2" t="s">
        <v>4094</v>
      </c>
      <c r="S12" s="2" t="s">
        <v>4095</v>
      </c>
      <c r="T12" s="3" t="s">
        <v>4096</v>
      </c>
    </row>
    <row r="13" spans="1:20" ht="12.9" customHeight="1" x14ac:dyDescent="0.2">
      <c r="A13" s="10" t="s">
        <v>4153</v>
      </c>
      <c r="B13" s="10">
        <v>25</v>
      </c>
      <c r="C13" s="197" t="s">
        <v>4154</v>
      </c>
      <c r="D13" s="197" t="s">
        <v>4155</v>
      </c>
      <c r="E13" s="1" t="s">
        <v>4156</v>
      </c>
      <c r="F13" s="1" t="s">
        <v>4157</v>
      </c>
      <c r="G13" s="1" t="s">
        <v>4158</v>
      </c>
      <c r="H13" s="1" t="s">
        <v>4159</v>
      </c>
      <c r="I13" s="197" t="s">
        <v>4160</v>
      </c>
      <c r="J13" s="197" t="s">
        <v>4161</v>
      </c>
      <c r="K13" s="1" t="s">
        <v>556</v>
      </c>
      <c r="L13" s="1" t="s">
        <v>558</v>
      </c>
      <c r="M13" s="1" t="s">
        <v>4233</v>
      </c>
      <c r="N13" s="1" t="s">
        <v>4162</v>
      </c>
      <c r="O13" s="405" t="s">
        <v>4248</v>
      </c>
      <c r="P13" s="197" t="s">
        <v>4249</v>
      </c>
      <c r="Q13" s="7" t="s">
        <v>4163</v>
      </c>
      <c r="R13" s="2" t="s">
        <v>4164</v>
      </c>
      <c r="S13" s="2" t="s">
        <v>4165</v>
      </c>
      <c r="T13" s="3" t="s">
        <v>4166</v>
      </c>
    </row>
    <row r="14" spans="1:20" ht="12.9" customHeight="1" x14ac:dyDescent="0.2">
      <c r="A14" s="10" t="s">
        <v>4167</v>
      </c>
      <c r="B14" s="10">
        <v>26</v>
      </c>
      <c r="C14" s="197" t="s">
        <v>4160</v>
      </c>
      <c r="D14" s="197" t="s">
        <v>4161</v>
      </c>
      <c r="E14" s="1" t="s">
        <v>4168</v>
      </c>
      <c r="F14" s="1" t="s">
        <v>4169</v>
      </c>
      <c r="G14" s="1" t="s">
        <v>4170</v>
      </c>
      <c r="H14" s="1" t="s">
        <v>4171</v>
      </c>
      <c r="I14" s="405" t="s">
        <v>4172</v>
      </c>
      <c r="J14" s="197" t="s">
        <v>579</v>
      </c>
      <c r="K14" s="2" t="s">
        <v>4173</v>
      </c>
      <c r="L14" s="2" t="s">
        <v>581</v>
      </c>
      <c r="M14" s="2" t="s">
        <v>4174</v>
      </c>
      <c r="N14" s="2" t="s">
        <v>4175</v>
      </c>
      <c r="O14" s="197" t="s">
        <v>4176</v>
      </c>
      <c r="P14" s="197" t="s">
        <v>4177</v>
      </c>
      <c r="Q14" s="7" t="s">
        <v>4178</v>
      </c>
      <c r="R14" s="2" t="s">
        <v>4031</v>
      </c>
      <c r="S14" s="2" t="s">
        <v>4032</v>
      </c>
      <c r="T14" s="3" t="s">
        <v>4033</v>
      </c>
    </row>
    <row r="15" spans="1:20" ht="12.9" customHeight="1" x14ac:dyDescent="0.2">
      <c r="A15" s="10" t="s">
        <v>4034</v>
      </c>
      <c r="B15" s="10">
        <v>34</v>
      </c>
      <c r="C15" s="197" t="s">
        <v>4176</v>
      </c>
      <c r="D15" s="197" t="s">
        <v>4177</v>
      </c>
      <c r="E15" s="1" t="s">
        <v>4178</v>
      </c>
      <c r="F15" s="1" t="s">
        <v>4031</v>
      </c>
      <c r="G15" s="1" t="s">
        <v>4032</v>
      </c>
      <c r="H15" s="1" t="s">
        <v>4033</v>
      </c>
      <c r="I15" s="405" t="s">
        <v>4035</v>
      </c>
      <c r="J15" s="197" t="s">
        <v>4230</v>
      </c>
      <c r="K15" s="2" t="s">
        <v>4036</v>
      </c>
      <c r="L15" s="2" t="s">
        <v>4037</v>
      </c>
      <c r="M15" s="2" t="s">
        <v>4038</v>
      </c>
      <c r="N15" s="2" t="s">
        <v>4039</v>
      </c>
      <c r="O15" s="197" t="s">
        <v>4040</v>
      </c>
      <c r="P15" s="197" t="s">
        <v>4041</v>
      </c>
      <c r="Q15" s="7" t="s">
        <v>4042</v>
      </c>
      <c r="R15" s="2" t="s">
        <v>4043</v>
      </c>
      <c r="S15" s="2" t="s">
        <v>4044</v>
      </c>
      <c r="T15" s="3" t="s">
        <v>4045</v>
      </c>
    </row>
    <row r="16" spans="1:20" ht="12.9" customHeight="1" x14ac:dyDescent="0.2">
      <c r="A16" s="10" t="s">
        <v>4046</v>
      </c>
      <c r="B16" s="10">
        <v>34</v>
      </c>
      <c r="C16" s="197" t="s">
        <v>4040</v>
      </c>
      <c r="D16" s="197" t="s">
        <v>4041</v>
      </c>
      <c r="E16" s="1" t="s">
        <v>4047</v>
      </c>
      <c r="F16" s="1" t="s">
        <v>4043</v>
      </c>
      <c r="G16" s="1" t="s">
        <v>4048</v>
      </c>
      <c r="H16" s="1" t="s">
        <v>4045</v>
      </c>
      <c r="I16" s="405" t="s">
        <v>4049</v>
      </c>
      <c r="J16" s="197" t="s">
        <v>4050</v>
      </c>
      <c r="K16" s="2" t="s">
        <v>4051</v>
      </c>
      <c r="L16" s="2" t="s">
        <v>4052</v>
      </c>
      <c r="M16" s="2" t="s">
        <v>4053</v>
      </c>
      <c r="N16" s="1" t="s">
        <v>4054</v>
      </c>
      <c r="O16" s="197" t="s">
        <v>4055</v>
      </c>
      <c r="P16" s="197" t="s">
        <v>4041</v>
      </c>
      <c r="Q16" s="7" t="s">
        <v>4056</v>
      </c>
      <c r="R16" s="2" t="s">
        <v>4057</v>
      </c>
      <c r="S16" s="2" t="s">
        <v>4058</v>
      </c>
      <c r="T16" s="3" t="s">
        <v>4059</v>
      </c>
    </row>
    <row r="17" spans="1:21" ht="12.9" customHeight="1" x14ac:dyDescent="0.2">
      <c r="A17" s="10" t="s">
        <v>4060</v>
      </c>
      <c r="B17" s="10">
        <v>33</v>
      </c>
      <c r="C17" s="197" t="s">
        <v>4055</v>
      </c>
      <c r="D17" s="197" t="s">
        <v>4041</v>
      </c>
      <c r="E17" s="1" t="s">
        <v>4056</v>
      </c>
      <c r="F17" s="1" t="s">
        <v>4057</v>
      </c>
      <c r="G17" s="1" t="s">
        <v>4058</v>
      </c>
      <c r="H17" s="1" t="s">
        <v>4059</v>
      </c>
      <c r="I17" s="405" t="s">
        <v>4061</v>
      </c>
      <c r="J17" s="197" t="s">
        <v>4062</v>
      </c>
      <c r="K17" s="2" t="s">
        <v>4071</v>
      </c>
      <c r="L17" s="2" t="s">
        <v>278</v>
      </c>
      <c r="M17" s="2" t="s">
        <v>279</v>
      </c>
      <c r="N17" s="2" t="s">
        <v>280</v>
      </c>
      <c r="O17" s="405" t="s">
        <v>281</v>
      </c>
      <c r="P17" s="197" t="s">
        <v>28</v>
      </c>
      <c r="Q17" s="7" t="s">
        <v>29</v>
      </c>
      <c r="R17" s="2" t="s">
        <v>30</v>
      </c>
      <c r="S17" s="2" t="s">
        <v>31</v>
      </c>
      <c r="T17" s="3" t="s">
        <v>599</v>
      </c>
    </row>
    <row r="18" spans="1:21" ht="12.9" customHeight="1" x14ac:dyDescent="0.2">
      <c r="A18" s="10" t="s">
        <v>32</v>
      </c>
      <c r="B18" s="10">
        <v>36</v>
      </c>
      <c r="C18" s="197" t="s">
        <v>33</v>
      </c>
      <c r="D18" s="197" t="s">
        <v>34</v>
      </c>
      <c r="E18" s="1" t="s">
        <v>35</v>
      </c>
      <c r="F18" s="1" t="s">
        <v>36</v>
      </c>
      <c r="G18" s="1" t="s">
        <v>4037</v>
      </c>
      <c r="H18" s="1" t="s">
        <v>37</v>
      </c>
      <c r="I18" s="405" t="s">
        <v>38</v>
      </c>
      <c r="J18" s="197" t="s">
        <v>39</v>
      </c>
      <c r="K18" s="1" t="s">
        <v>40</v>
      </c>
      <c r="L18" s="1" t="s">
        <v>41</v>
      </c>
      <c r="M18" s="1" t="s">
        <v>42</v>
      </c>
      <c r="N18" s="1" t="s">
        <v>43</v>
      </c>
      <c r="O18" s="405" t="s">
        <v>281</v>
      </c>
      <c r="P18" s="197" t="s">
        <v>28</v>
      </c>
      <c r="Q18" s="7" t="s">
        <v>4084</v>
      </c>
      <c r="R18" s="2" t="s">
        <v>4085</v>
      </c>
      <c r="S18" s="2" t="s">
        <v>4086</v>
      </c>
      <c r="T18" s="3" t="s">
        <v>600</v>
      </c>
    </row>
    <row r="19" spans="1:21" ht="12.9" customHeight="1" x14ac:dyDescent="0.2">
      <c r="A19" s="10" t="s">
        <v>46</v>
      </c>
      <c r="B19" s="10">
        <v>33</v>
      </c>
      <c r="C19" s="197" t="s">
        <v>38</v>
      </c>
      <c r="D19" s="197" t="s">
        <v>39</v>
      </c>
      <c r="E19" s="1" t="s">
        <v>47</v>
      </c>
      <c r="F19" s="1" t="s">
        <v>41</v>
      </c>
      <c r="G19" s="1" t="s">
        <v>42</v>
      </c>
      <c r="H19" s="1" t="s">
        <v>43</v>
      </c>
      <c r="I19" s="405" t="s">
        <v>48</v>
      </c>
      <c r="J19" s="197" t="s">
        <v>49</v>
      </c>
      <c r="K19" s="2" t="s">
        <v>2704</v>
      </c>
      <c r="L19" s="2" t="s">
        <v>2705</v>
      </c>
      <c r="M19" s="2" t="s">
        <v>2706</v>
      </c>
      <c r="N19" s="2" t="s">
        <v>4068</v>
      </c>
      <c r="O19" s="405" t="s">
        <v>4069</v>
      </c>
      <c r="P19" s="197" t="s">
        <v>4070</v>
      </c>
      <c r="Q19" s="7" t="s">
        <v>4071</v>
      </c>
      <c r="R19" s="2" t="s">
        <v>4072</v>
      </c>
      <c r="S19" s="2" t="s">
        <v>279</v>
      </c>
      <c r="T19" s="3" t="s">
        <v>280</v>
      </c>
    </row>
    <row r="20" spans="1:21" ht="12.9" customHeight="1" x14ac:dyDescent="0.2">
      <c r="A20" s="10" t="s">
        <v>4073</v>
      </c>
      <c r="B20" s="10">
        <v>39</v>
      </c>
      <c r="C20" s="197" t="s">
        <v>4074</v>
      </c>
      <c r="D20" s="197" t="s">
        <v>4075</v>
      </c>
      <c r="E20" s="1" t="s">
        <v>551</v>
      </c>
      <c r="F20" s="1" t="s">
        <v>4251</v>
      </c>
      <c r="G20" s="1" t="s">
        <v>4076</v>
      </c>
      <c r="H20" s="1" t="s">
        <v>4077</v>
      </c>
      <c r="I20" s="405" t="s">
        <v>4078</v>
      </c>
      <c r="J20" s="197" t="s">
        <v>4079</v>
      </c>
      <c r="K20" s="1" t="s">
        <v>4080</v>
      </c>
      <c r="L20" s="1" t="s">
        <v>558</v>
      </c>
      <c r="M20" s="1" t="s">
        <v>4082</v>
      </c>
      <c r="N20" s="1" t="s">
        <v>4083</v>
      </c>
      <c r="O20" s="405" t="s">
        <v>281</v>
      </c>
      <c r="P20" s="197" t="s">
        <v>28</v>
      </c>
      <c r="Q20" s="7" t="s">
        <v>152</v>
      </c>
      <c r="R20" s="2" t="s">
        <v>153</v>
      </c>
      <c r="S20" s="2" t="s">
        <v>154</v>
      </c>
      <c r="T20" s="3" t="s">
        <v>601</v>
      </c>
    </row>
    <row r="21" spans="1:21" ht="12.9" customHeight="1" x14ac:dyDescent="0.2">
      <c r="A21" s="10" t="s">
        <v>4087</v>
      </c>
      <c r="B21" s="10">
        <v>28</v>
      </c>
      <c r="C21" s="197" t="s">
        <v>4098</v>
      </c>
      <c r="D21" s="197" t="s">
        <v>4079</v>
      </c>
      <c r="E21" s="1" t="s">
        <v>4080</v>
      </c>
      <c r="F21" s="1" t="s">
        <v>4099</v>
      </c>
      <c r="G21" s="1" t="s">
        <v>4082</v>
      </c>
      <c r="H21" s="1" t="s">
        <v>4083</v>
      </c>
      <c r="I21" s="405" t="s">
        <v>281</v>
      </c>
      <c r="J21" s="197" t="s">
        <v>28</v>
      </c>
      <c r="K21" s="2" t="s">
        <v>29</v>
      </c>
      <c r="L21" s="2" t="s">
        <v>30</v>
      </c>
      <c r="M21" s="2" t="s">
        <v>31</v>
      </c>
      <c r="N21" s="2" t="s">
        <v>599</v>
      </c>
      <c r="O21" s="405" t="s">
        <v>4100</v>
      </c>
      <c r="P21" s="197" t="s">
        <v>130</v>
      </c>
      <c r="Q21" s="7" t="s">
        <v>131</v>
      </c>
      <c r="R21" s="2" t="s">
        <v>132</v>
      </c>
      <c r="S21" s="2" t="s">
        <v>133</v>
      </c>
      <c r="T21" s="3" t="s">
        <v>134</v>
      </c>
    </row>
    <row r="22" spans="1:21" ht="12.9" customHeight="1" x14ac:dyDescent="0.2">
      <c r="A22" s="10" t="s">
        <v>135</v>
      </c>
      <c r="B22" s="10">
        <v>33</v>
      </c>
      <c r="C22" s="197" t="s">
        <v>4100</v>
      </c>
      <c r="D22" s="197" t="s">
        <v>130</v>
      </c>
      <c r="E22" s="1" t="s">
        <v>131</v>
      </c>
      <c r="F22" s="1" t="s">
        <v>136</v>
      </c>
      <c r="G22" s="1" t="s">
        <v>137</v>
      </c>
      <c r="H22" s="1" t="s">
        <v>134</v>
      </c>
      <c r="I22" s="405" t="s">
        <v>281</v>
      </c>
      <c r="J22" s="197" t="s">
        <v>28</v>
      </c>
      <c r="K22" s="2" t="s">
        <v>4084</v>
      </c>
      <c r="L22" s="2" t="s">
        <v>4085</v>
      </c>
      <c r="M22" s="2" t="s">
        <v>4086</v>
      </c>
      <c r="N22" s="2" t="s">
        <v>600</v>
      </c>
      <c r="O22" s="405" t="s">
        <v>138</v>
      </c>
      <c r="P22" s="197" t="s">
        <v>139</v>
      </c>
      <c r="Q22" s="7" t="s">
        <v>140</v>
      </c>
      <c r="R22" s="2" t="s">
        <v>141</v>
      </c>
      <c r="S22" s="2" t="s">
        <v>142</v>
      </c>
      <c r="T22" s="3" t="s">
        <v>143</v>
      </c>
    </row>
    <row r="23" spans="1:21" ht="12.9" customHeight="1" x14ac:dyDescent="0.2">
      <c r="A23" s="10" t="s">
        <v>144</v>
      </c>
      <c r="B23" s="10">
        <v>27</v>
      </c>
      <c r="C23" s="197" t="s">
        <v>138</v>
      </c>
      <c r="D23" s="197" t="s">
        <v>139</v>
      </c>
      <c r="E23" s="1" t="s">
        <v>145</v>
      </c>
      <c r="F23" s="1" t="s">
        <v>146</v>
      </c>
      <c r="G23" s="1" t="s">
        <v>142</v>
      </c>
      <c r="H23" s="1" t="s">
        <v>143</v>
      </c>
      <c r="I23" s="405" t="s">
        <v>147</v>
      </c>
      <c r="J23" s="197" t="s">
        <v>148</v>
      </c>
      <c r="K23" s="2" t="s">
        <v>149</v>
      </c>
      <c r="L23" s="2" t="s">
        <v>150</v>
      </c>
      <c r="M23" s="2" t="s">
        <v>151</v>
      </c>
      <c r="N23" s="2" t="s">
        <v>45</v>
      </c>
      <c r="O23" s="405" t="s">
        <v>281</v>
      </c>
      <c r="P23" s="197" t="s">
        <v>28</v>
      </c>
      <c r="Q23" s="7" t="s">
        <v>408</v>
      </c>
      <c r="R23" s="2" t="s">
        <v>459</v>
      </c>
      <c r="S23" s="2" t="s">
        <v>460</v>
      </c>
      <c r="T23" s="3" t="s">
        <v>461</v>
      </c>
    </row>
    <row r="24" spans="1:21" ht="12.9" customHeight="1" x14ac:dyDescent="0.2">
      <c r="A24" s="10" t="s">
        <v>155</v>
      </c>
      <c r="B24" s="10">
        <v>37</v>
      </c>
      <c r="C24" s="197" t="s">
        <v>156</v>
      </c>
      <c r="D24" s="197" t="s">
        <v>157</v>
      </c>
      <c r="E24" s="1" t="s">
        <v>4245</v>
      </c>
      <c r="F24" s="1" t="s">
        <v>4094</v>
      </c>
      <c r="G24" s="1" t="s">
        <v>158</v>
      </c>
      <c r="H24" s="1" t="s">
        <v>280</v>
      </c>
      <c r="I24" s="405" t="s">
        <v>147</v>
      </c>
      <c r="J24" s="197" t="s">
        <v>148</v>
      </c>
      <c r="K24" s="2" t="s">
        <v>159</v>
      </c>
      <c r="L24" s="2" t="s">
        <v>160</v>
      </c>
      <c r="M24" s="2" t="s">
        <v>161</v>
      </c>
      <c r="N24" s="2" t="s">
        <v>162</v>
      </c>
      <c r="O24" s="405" t="s">
        <v>163</v>
      </c>
      <c r="P24" s="197" t="s">
        <v>164</v>
      </c>
      <c r="Q24" s="7" t="s">
        <v>165</v>
      </c>
      <c r="R24" s="2" t="s">
        <v>166</v>
      </c>
      <c r="S24" s="2" t="s">
        <v>167</v>
      </c>
      <c r="T24" s="3" t="s">
        <v>168</v>
      </c>
    </row>
    <row r="25" spans="1:21" ht="12.9" customHeight="1" x14ac:dyDescent="0.2">
      <c r="A25" s="10" t="s">
        <v>169</v>
      </c>
      <c r="B25" s="10">
        <v>35</v>
      </c>
      <c r="C25" s="197" t="s">
        <v>170</v>
      </c>
      <c r="D25" s="197" t="s">
        <v>4041</v>
      </c>
      <c r="E25" s="1" t="s">
        <v>171</v>
      </c>
      <c r="F25" s="1" t="s">
        <v>172</v>
      </c>
      <c r="G25" s="1" t="s">
        <v>3241</v>
      </c>
      <c r="H25" s="1" t="s">
        <v>3242</v>
      </c>
      <c r="I25" s="405" t="s">
        <v>147</v>
      </c>
      <c r="J25" s="197" t="s">
        <v>148</v>
      </c>
      <c r="K25" s="2" t="s">
        <v>3243</v>
      </c>
      <c r="L25" s="2" t="s">
        <v>3244</v>
      </c>
      <c r="M25" s="2" t="s">
        <v>3245</v>
      </c>
      <c r="N25" s="2" t="s">
        <v>3274</v>
      </c>
      <c r="O25" s="405" t="s">
        <v>281</v>
      </c>
      <c r="P25" s="197" t="s">
        <v>28</v>
      </c>
      <c r="Q25" s="7" t="s">
        <v>408</v>
      </c>
      <c r="R25" s="2" t="s">
        <v>459</v>
      </c>
      <c r="S25" s="2" t="s">
        <v>460</v>
      </c>
      <c r="T25" s="3" t="s">
        <v>602</v>
      </c>
    </row>
    <row r="26" spans="1:21" ht="12.9" customHeight="1" x14ac:dyDescent="0.2">
      <c r="A26" s="10" t="s">
        <v>3278</v>
      </c>
      <c r="B26" s="10">
        <v>41</v>
      </c>
      <c r="C26" s="197" t="s">
        <v>3279</v>
      </c>
      <c r="D26" s="197" t="s">
        <v>3280</v>
      </c>
      <c r="E26" s="1" t="s">
        <v>3281</v>
      </c>
      <c r="F26" s="1" t="s">
        <v>3282</v>
      </c>
      <c r="G26" s="1" t="s">
        <v>2706</v>
      </c>
      <c r="H26" s="1" t="s">
        <v>2705</v>
      </c>
      <c r="I26" s="405" t="s">
        <v>163</v>
      </c>
      <c r="J26" s="197" t="s">
        <v>164</v>
      </c>
      <c r="K26" s="1" t="s">
        <v>165</v>
      </c>
      <c r="L26" s="1" t="s">
        <v>166</v>
      </c>
      <c r="M26" s="1" t="s">
        <v>4170</v>
      </c>
      <c r="N26" s="1" t="s">
        <v>168</v>
      </c>
      <c r="O26" s="405" t="s">
        <v>147</v>
      </c>
      <c r="P26" s="197" t="s">
        <v>148</v>
      </c>
      <c r="Q26" s="7" t="s">
        <v>3283</v>
      </c>
      <c r="R26" s="2" t="s">
        <v>3244</v>
      </c>
      <c r="S26" s="2" t="s">
        <v>3284</v>
      </c>
      <c r="T26" s="3" t="s">
        <v>162</v>
      </c>
    </row>
    <row r="27" spans="1:21" ht="12.9" customHeight="1" x14ac:dyDescent="0.2">
      <c r="A27" s="10" t="s">
        <v>3285</v>
      </c>
      <c r="B27" s="10">
        <v>31</v>
      </c>
      <c r="C27" s="197" t="s">
        <v>3286</v>
      </c>
      <c r="D27" s="197" t="s">
        <v>3287</v>
      </c>
      <c r="E27" s="1" t="s">
        <v>4071</v>
      </c>
      <c r="F27" s="1" t="s">
        <v>3288</v>
      </c>
      <c r="G27" s="1" t="s">
        <v>3289</v>
      </c>
      <c r="H27" s="1" t="s">
        <v>3290</v>
      </c>
      <c r="I27" s="405" t="s">
        <v>3291</v>
      </c>
      <c r="J27" s="197" t="s">
        <v>3292</v>
      </c>
      <c r="K27" s="2" t="s">
        <v>3293</v>
      </c>
      <c r="L27" s="2" t="s">
        <v>3294</v>
      </c>
      <c r="M27" s="2" t="s">
        <v>3295</v>
      </c>
      <c r="N27" s="2" t="s">
        <v>143</v>
      </c>
      <c r="O27" s="405" t="s">
        <v>3296</v>
      </c>
      <c r="P27" s="197" t="s">
        <v>3297</v>
      </c>
      <c r="Q27" s="7" t="s">
        <v>1613</v>
      </c>
      <c r="R27" s="2" t="s">
        <v>1614</v>
      </c>
      <c r="S27" s="2" t="s">
        <v>1615</v>
      </c>
      <c r="T27" s="3" t="s">
        <v>2950</v>
      </c>
    </row>
    <row r="28" spans="1:21" ht="12.9" customHeight="1" x14ac:dyDescent="0.2">
      <c r="A28" s="10" t="s">
        <v>1617</v>
      </c>
      <c r="B28" s="10">
        <v>30</v>
      </c>
      <c r="C28" s="197" t="s">
        <v>163</v>
      </c>
      <c r="D28" s="197" t="s">
        <v>164</v>
      </c>
      <c r="E28" s="1" t="s">
        <v>165</v>
      </c>
      <c r="F28" s="1" t="s">
        <v>166</v>
      </c>
      <c r="G28" s="1" t="s">
        <v>1618</v>
      </c>
      <c r="H28" s="1" t="s">
        <v>168</v>
      </c>
      <c r="I28" s="405" t="s">
        <v>3291</v>
      </c>
      <c r="J28" s="197" t="s">
        <v>3292</v>
      </c>
      <c r="K28" s="2" t="s">
        <v>1619</v>
      </c>
      <c r="L28" s="2" t="s">
        <v>1620</v>
      </c>
      <c r="M28" s="2" t="s">
        <v>1621</v>
      </c>
      <c r="N28" s="2" t="s">
        <v>1622</v>
      </c>
      <c r="O28" s="405" t="s">
        <v>1623</v>
      </c>
      <c r="P28" s="197" t="s">
        <v>1624</v>
      </c>
      <c r="Q28" s="7" t="s">
        <v>1625</v>
      </c>
      <c r="R28" s="2" t="s">
        <v>1964</v>
      </c>
      <c r="S28" s="2" t="s">
        <v>1627</v>
      </c>
      <c r="T28" s="3" t="s">
        <v>1628</v>
      </c>
    </row>
    <row r="29" spans="1:21" ht="12.9" customHeight="1" x14ac:dyDescent="0.2">
      <c r="A29" s="10" t="s">
        <v>1629</v>
      </c>
      <c r="B29" s="10">
        <v>38</v>
      </c>
      <c r="C29" s="197" t="s">
        <v>1630</v>
      </c>
      <c r="D29" s="197" t="s">
        <v>1631</v>
      </c>
      <c r="E29" s="2" t="s">
        <v>149</v>
      </c>
      <c r="F29" s="1" t="s">
        <v>1632</v>
      </c>
      <c r="G29" s="1" t="s">
        <v>1633</v>
      </c>
      <c r="H29" s="1" t="s">
        <v>1634</v>
      </c>
      <c r="I29" s="405" t="s">
        <v>281</v>
      </c>
      <c r="J29" s="197" t="s">
        <v>28</v>
      </c>
      <c r="K29" s="2" t="s">
        <v>152</v>
      </c>
      <c r="L29" s="2" t="s">
        <v>153</v>
      </c>
      <c r="M29" s="2" t="s">
        <v>154</v>
      </c>
      <c r="N29" s="2" t="s">
        <v>601</v>
      </c>
      <c r="O29" s="405" t="s">
        <v>1635</v>
      </c>
      <c r="P29" s="197" t="s">
        <v>1636</v>
      </c>
      <c r="Q29" s="7" t="s">
        <v>1637</v>
      </c>
      <c r="R29" s="2" t="s">
        <v>1638</v>
      </c>
      <c r="S29" s="2" t="s">
        <v>1639</v>
      </c>
      <c r="T29" s="3" t="s">
        <v>1640</v>
      </c>
    </row>
    <row r="30" spans="1:21" ht="12.9" customHeight="1" x14ac:dyDescent="0.2">
      <c r="A30" s="10" t="s">
        <v>1641</v>
      </c>
      <c r="B30" s="10">
        <v>28</v>
      </c>
      <c r="C30" s="197" t="s">
        <v>1635</v>
      </c>
      <c r="D30" s="197" t="s">
        <v>1636</v>
      </c>
      <c r="E30" s="1" t="s">
        <v>1637</v>
      </c>
      <c r="F30" s="1" t="s">
        <v>1638</v>
      </c>
      <c r="G30" s="1" t="s">
        <v>1639</v>
      </c>
      <c r="H30" s="1" t="s">
        <v>1640</v>
      </c>
      <c r="I30" s="405" t="s">
        <v>3291</v>
      </c>
      <c r="J30" s="197" t="s">
        <v>3292</v>
      </c>
      <c r="K30" s="2" t="s">
        <v>1642</v>
      </c>
      <c r="L30" s="2" t="s">
        <v>1643</v>
      </c>
      <c r="M30" s="2" t="s">
        <v>1644</v>
      </c>
      <c r="N30" s="2" t="s">
        <v>1645</v>
      </c>
      <c r="O30" s="405" t="s">
        <v>1646</v>
      </c>
      <c r="P30" s="197" t="s">
        <v>2361</v>
      </c>
      <c r="Q30" s="7" t="s">
        <v>3687</v>
      </c>
      <c r="R30" s="2" t="s">
        <v>3688</v>
      </c>
      <c r="S30" s="2" t="s">
        <v>3689</v>
      </c>
      <c r="T30" s="3" t="s">
        <v>3690</v>
      </c>
    </row>
    <row r="31" spans="1:21" ht="12.9" customHeight="1" x14ac:dyDescent="0.2">
      <c r="A31" s="10" t="s">
        <v>3691</v>
      </c>
      <c r="B31" s="10">
        <v>30</v>
      </c>
      <c r="C31" s="197" t="s">
        <v>3692</v>
      </c>
      <c r="D31" s="197" t="s">
        <v>362</v>
      </c>
      <c r="E31" s="1" t="s">
        <v>159</v>
      </c>
      <c r="F31" s="1" t="s">
        <v>1301</v>
      </c>
      <c r="G31" s="1" t="s">
        <v>1302</v>
      </c>
      <c r="H31" s="1" t="s">
        <v>1971</v>
      </c>
      <c r="I31" s="405" t="s">
        <v>1304</v>
      </c>
      <c r="J31" s="197" t="s">
        <v>1305</v>
      </c>
      <c r="K31" s="1" t="s">
        <v>1306</v>
      </c>
      <c r="L31" s="1" t="s">
        <v>3282</v>
      </c>
      <c r="M31" s="1" t="s">
        <v>1307</v>
      </c>
      <c r="N31" s="1" t="s">
        <v>1308</v>
      </c>
      <c r="O31" s="405" t="s">
        <v>1309</v>
      </c>
      <c r="P31" s="197" t="s">
        <v>1310</v>
      </c>
      <c r="Q31" s="7" t="s">
        <v>1311</v>
      </c>
      <c r="R31" s="2" t="s">
        <v>1312</v>
      </c>
      <c r="S31" s="2" t="s">
        <v>1313</v>
      </c>
      <c r="T31" s="3" t="s">
        <v>2746</v>
      </c>
    </row>
    <row r="32" spans="1:21" ht="12.9" customHeight="1" x14ac:dyDescent="0.2">
      <c r="A32" s="10" t="s">
        <v>2747</v>
      </c>
      <c r="B32" s="10">
        <v>24</v>
      </c>
      <c r="C32" s="197" t="s">
        <v>1304</v>
      </c>
      <c r="D32" s="197" t="s">
        <v>1305</v>
      </c>
      <c r="E32" s="1" t="s">
        <v>3284</v>
      </c>
      <c r="F32" s="1" t="s">
        <v>2748</v>
      </c>
      <c r="G32" s="1" t="s">
        <v>2749</v>
      </c>
      <c r="H32" s="1" t="s">
        <v>2750</v>
      </c>
      <c r="I32" s="405" t="s">
        <v>1309</v>
      </c>
      <c r="J32" s="197" t="s">
        <v>1310</v>
      </c>
      <c r="K32" s="1" t="s">
        <v>196</v>
      </c>
      <c r="L32" s="1" t="s">
        <v>4077</v>
      </c>
      <c r="M32" s="1" t="s">
        <v>2751</v>
      </c>
      <c r="N32" s="1" t="s">
        <v>2746</v>
      </c>
      <c r="O32" s="405" t="s">
        <v>2752</v>
      </c>
      <c r="P32" s="197" t="s">
        <v>2753</v>
      </c>
      <c r="Q32" s="7" t="s">
        <v>2754</v>
      </c>
      <c r="R32" s="2" t="s">
        <v>2755</v>
      </c>
      <c r="S32" s="2" t="s">
        <v>2756</v>
      </c>
      <c r="T32" s="3" t="s">
        <v>1622</v>
      </c>
      <c r="U32" s="495" t="s">
        <v>3661</v>
      </c>
    </row>
    <row r="33" spans="1:20" ht="12.9" customHeight="1" x14ac:dyDescent="0.2">
      <c r="A33" s="10" t="s">
        <v>2757</v>
      </c>
      <c r="B33" s="10">
        <v>23</v>
      </c>
      <c r="C33" s="197" t="s">
        <v>1309</v>
      </c>
      <c r="D33" s="197" t="s">
        <v>1310</v>
      </c>
      <c r="E33" s="1" t="s">
        <v>196</v>
      </c>
      <c r="F33" s="1" t="s">
        <v>2758</v>
      </c>
      <c r="G33" s="1" t="s">
        <v>2751</v>
      </c>
      <c r="H33" s="1" t="s">
        <v>2746</v>
      </c>
      <c r="I33" s="405" t="s">
        <v>2759</v>
      </c>
      <c r="J33" s="197" t="s">
        <v>2760</v>
      </c>
      <c r="K33" s="2" t="s">
        <v>433</v>
      </c>
      <c r="L33" s="2" t="s">
        <v>1626</v>
      </c>
      <c r="M33" s="1" t="s">
        <v>1627</v>
      </c>
      <c r="N33" s="2" t="s">
        <v>434</v>
      </c>
      <c r="O33" s="405" t="s">
        <v>2752</v>
      </c>
      <c r="P33" s="197" t="s">
        <v>2753</v>
      </c>
      <c r="Q33" s="7" t="s">
        <v>435</v>
      </c>
      <c r="R33" s="2" t="s">
        <v>436</v>
      </c>
      <c r="S33" s="2" t="s">
        <v>437</v>
      </c>
      <c r="T33" s="3" t="s">
        <v>1645</v>
      </c>
    </row>
    <row r="34" spans="1:20" ht="12.9" customHeight="1" x14ac:dyDescent="0.2">
      <c r="A34" s="10" t="s">
        <v>438</v>
      </c>
      <c r="B34" s="10">
        <v>23</v>
      </c>
      <c r="C34" s="197" t="s">
        <v>2752</v>
      </c>
      <c r="D34" s="197" t="s">
        <v>2753</v>
      </c>
      <c r="E34" s="2" t="s">
        <v>439</v>
      </c>
      <c r="F34" s="2" t="s">
        <v>2755</v>
      </c>
      <c r="G34" s="2" t="s">
        <v>2756</v>
      </c>
      <c r="H34" s="2" t="s">
        <v>1622</v>
      </c>
      <c r="I34" s="405" t="s">
        <v>281</v>
      </c>
      <c r="J34" s="197" t="s">
        <v>2362</v>
      </c>
      <c r="K34" s="2" t="s">
        <v>441</v>
      </c>
      <c r="L34" s="2" t="s">
        <v>3276</v>
      </c>
      <c r="M34" s="2" t="s">
        <v>3277</v>
      </c>
      <c r="N34" s="3" t="s">
        <v>605</v>
      </c>
      <c r="O34" s="405" t="s">
        <v>442</v>
      </c>
      <c r="P34" s="197" t="s">
        <v>443</v>
      </c>
      <c r="Q34" s="7" t="s">
        <v>444</v>
      </c>
      <c r="R34" s="2" t="s">
        <v>3288</v>
      </c>
      <c r="S34" s="2" t="s">
        <v>445</v>
      </c>
      <c r="T34" s="3" t="s">
        <v>446</v>
      </c>
    </row>
    <row r="35" spans="1:20" ht="12.9" customHeight="1" x14ac:dyDescent="0.2">
      <c r="A35" s="503">
        <v>2005</v>
      </c>
      <c r="B35" s="10">
        <v>29</v>
      </c>
      <c r="C35" s="197" t="s">
        <v>447</v>
      </c>
      <c r="D35" s="504" t="s">
        <v>448</v>
      </c>
      <c r="E35" s="2" t="s">
        <v>4036</v>
      </c>
      <c r="F35" s="2" t="s">
        <v>450</v>
      </c>
      <c r="G35" s="2" t="s">
        <v>451</v>
      </c>
      <c r="H35" s="3" t="s">
        <v>452</v>
      </c>
      <c r="I35" s="504" t="s">
        <v>453</v>
      </c>
      <c r="J35" s="504" t="s">
        <v>454</v>
      </c>
      <c r="K35" s="2" t="s">
        <v>455</v>
      </c>
      <c r="L35" s="2" t="s">
        <v>2758</v>
      </c>
      <c r="M35" s="2" t="s">
        <v>456</v>
      </c>
      <c r="N35" s="3" t="s">
        <v>457</v>
      </c>
      <c r="O35" s="504" t="s">
        <v>281</v>
      </c>
      <c r="P35" s="504" t="s">
        <v>2362</v>
      </c>
      <c r="Q35" s="7" t="s">
        <v>2704</v>
      </c>
      <c r="R35" s="2" t="s">
        <v>2365</v>
      </c>
      <c r="S35" s="2" t="s">
        <v>2366</v>
      </c>
      <c r="T35" s="3" t="s">
        <v>603</v>
      </c>
    </row>
    <row r="36" spans="1:20" ht="12.9" customHeight="1" x14ac:dyDescent="0.2">
      <c r="A36" s="7">
        <v>2006</v>
      </c>
      <c r="B36" s="7">
        <v>27</v>
      </c>
      <c r="C36" s="405" t="s">
        <v>453</v>
      </c>
      <c r="D36" s="197" t="s">
        <v>454</v>
      </c>
      <c r="E36" s="2" t="s">
        <v>455</v>
      </c>
      <c r="F36" s="2" t="s">
        <v>2364</v>
      </c>
      <c r="G36" s="2" t="s">
        <v>456</v>
      </c>
      <c r="H36" s="2" t="s">
        <v>3408</v>
      </c>
      <c r="I36" s="405" t="s">
        <v>2727</v>
      </c>
      <c r="J36" s="197" t="s">
        <v>2728</v>
      </c>
      <c r="K36" s="2" t="s">
        <v>2793</v>
      </c>
      <c r="L36" s="2" t="s">
        <v>2423</v>
      </c>
      <c r="M36" s="2" t="s">
        <v>3337</v>
      </c>
      <c r="N36" s="2" t="s">
        <v>2731</v>
      </c>
      <c r="O36" s="405" t="s">
        <v>281</v>
      </c>
      <c r="P36" s="197" t="s">
        <v>2362</v>
      </c>
      <c r="Q36" s="7" t="s">
        <v>441</v>
      </c>
      <c r="R36" s="2" t="s">
        <v>3594</v>
      </c>
      <c r="S36" s="2" t="s">
        <v>3595</v>
      </c>
      <c r="T36" s="3" t="s">
        <v>604</v>
      </c>
    </row>
    <row r="37" spans="1:20" ht="12.9" customHeight="1" x14ac:dyDescent="0.2">
      <c r="A37" s="505">
        <v>2007</v>
      </c>
      <c r="B37" s="505">
        <v>28</v>
      </c>
      <c r="C37" s="280" t="s">
        <v>3592</v>
      </c>
      <c r="D37" s="197" t="s">
        <v>2728</v>
      </c>
      <c r="E37" s="2" t="s">
        <v>2793</v>
      </c>
      <c r="F37" s="2" t="s">
        <v>2729</v>
      </c>
      <c r="G37" s="2" t="s">
        <v>3337</v>
      </c>
      <c r="H37" s="3" t="s">
        <v>2427</v>
      </c>
      <c r="I37" s="280" t="s">
        <v>2373</v>
      </c>
      <c r="J37" s="197" t="s">
        <v>2374</v>
      </c>
      <c r="K37" s="2" t="s">
        <v>3350</v>
      </c>
      <c r="L37" s="2" t="s">
        <v>3351</v>
      </c>
      <c r="M37" s="2" t="s">
        <v>1639</v>
      </c>
      <c r="N37" s="3" t="s">
        <v>4090</v>
      </c>
      <c r="O37" s="504" t="s">
        <v>281</v>
      </c>
      <c r="P37" s="504" t="s">
        <v>2362</v>
      </c>
      <c r="Q37" s="7" t="s">
        <v>3593</v>
      </c>
      <c r="R37" s="2" t="s">
        <v>409</v>
      </c>
      <c r="S37" s="2" t="s">
        <v>410</v>
      </c>
      <c r="T37" s="3" t="s">
        <v>411</v>
      </c>
    </row>
    <row r="38" spans="1:20" ht="12.9" customHeight="1" x14ac:dyDescent="0.2">
      <c r="A38" s="505">
        <v>2008</v>
      </c>
      <c r="B38" s="505">
        <v>33</v>
      </c>
      <c r="C38" s="197" t="s">
        <v>3598</v>
      </c>
      <c r="D38" s="197" t="s">
        <v>3077</v>
      </c>
      <c r="E38" s="7" t="s">
        <v>3350</v>
      </c>
      <c r="F38" s="2" t="s">
        <v>3351</v>
      </c>
      <c r="G38" s="2" t="s">
        <v>473</v>
      </c>
      <c r="H38" s="3" t="s">
        <v>3079</v>
      </c>
      <c r="I38" s="197" t="s">
        <v>3597</v>
      </c>
      <c r="J38" s="197" t="s">
        <v>3287</v>
      </c>
      <c r="K38" s="7" t="s">
        <v>2448</v>
      </c>
      <c r="L38" s="2" t="s">
        <v>1301</v>
      </c>
      <c r="M38" s="2" t="s">
        <v>2756</v>
      </c>
      <c r="N38" s="3" t="s">
        <v>3284</v>
      </c>
      <c r="O38" s="405" t="s">
        <v>3352</v>
      </c>
      <c r="P38" s="197" t="s">
        <v>1993</v>
      </c>
      <c r="Q38" s="7" t="s">
        <v>433</v>
      </c>
      <c r="R38" s="2" t="s">
        <v>4092</v>
      </c>
      <c r="S38" s="2" t="s">
        <v>3354</v>
      </c>
      <c r="T38" s="3" t="s">
        <v>434</v>
      </c>
    </row>
    <row r="39" spans="1:20" ht="12.9" customHeight="1" x14ac:dyDescent="0.2">
      <c r="A39" s="505">
        <v>2009</v>
      </c>
      <c r="B39" s="505">
        <v>39</v>
      </c>
      <c r="C39" s="197" t="s">
        <v>3597</v>
      </c>
      <c r="D39" s="197" t="s">
        <v>3287</v>
      </c>
      <c r="E39" s="7" t="s">
        <v>3243</v>
      </c>
      <c r="F39" s="2" t="s">
        <v>1301</v>
      </c>
      <c r="G39" s="2" t="s">
        <v>437</v>
      </c>
      <c r="H39" s="3" t="s">
        <v>3409</v>
      </c>
      <c r="I39" s="197" t="s">
        <v>3510</v>
      </c>
      <c r="J39" s="197" t="s">
        <v>3878</v>
      </c>
      <c r="K39" s="7" t="s">
        <v>4090</v>
      </c>
      <c r="L39" s="2" t="s">
        <v>2424</v>
      </c>
      <c r="M39" s="2" t="s">
        <v>2426</v>
      </c>
      <c r="N39" s="3" t="s">
        <v>2731</v>
      </c>
      <c r="O39" s="197" t="s">
        <v>412</v>
      </c>
      <c r="P39" s="197" t="s">
        <v>4079</v>
      </c>
      <c r="Q39" s="7" t="s">
        <v>3086</v>
      </c>
      <c r="R39" s="2" t="s">
        <v>3087</v>
      </c>
      <c r="S39" s="2" t="s">
        <v>3088</v>
      </c>
      <c r="T39" s="3" t="s">
        <v>3514</v>
      </c>
    </row>
    <row r="40" spans="1:20" ht="12.9" customHeight="1" x14ac:dyDescent="0.2">
      <c r="A40" s="505">
        <v>2010</v>
      </c>
      <c r="B40" s="505">
        <v>42</v>
      </c>
      <c r="C40" s="197" t="s">
        <v>3510</v>
      </c>
      <c r="D40" s="197" t="s">
        <v>3878</v>
      </c>
      <c r="E40" s="7" t="s">
        <v>4090</v>
      </c>
      <c r="F40" s="2" t="s">
        <v>2729</v>
      </c>
      <c r="G40" s="2" t="s">
        <v>2434</v>
      </c>
      <c r="H40" s="3" t="s">
        <v>2428</v>
      </c>
      <c r="I40" s="405" t="s">
        <v>1790</v>
      </c>
      <c r="J40" s="282" t="s">
        <v>3335</v>
      </c>
      <c r="K40" s="2" t="s">
        <v>444</v>
      </c>
      <c r="L40" s="2" t="s">
        <v>811</v>
      </c>
      <c r="M40" s="2" t="s">
        <v>3336</v>
      </c>
      <c r="N40" s="3" t="s">
        <v>1303</v>
      </c>
      <c r="O40" s="197" t="s">
        <v>3599</v>
      </c>
      <c r="P40" s="197" t="s">
        <v>2668</v>
      </c>
      <c r="Q40" s="7" t="s">
        <v>3080</v>
      </c>
      <c r="R40" s="2" t="s">
        <v>3081</v>
      </c>
      <c r="S40" s="2" t="s">
        <v>3602</v>
      </c>
      <c r="T40" s="3" t="s">
        <v>2446</v>
      </c>
    </row>
    <row r="41" spans="1:20" ht="12.9" customHeight="1" x14ac:dyDescent="0.2">
      <c r="A41" s="505">
        <v>2011</v>
      </c>
      <c r="B41" s="505">
        <v>41</v>
      </c>
      <c r="C41" s="405" t="s">
        <v>1790</v>
      </c>
      <c r="D41" s="282" t="s">
        <v>3335</v>
      </c>
      <c r="E41" s="2" t="s">
        <v>444</v>
      </c>
      <c r="F41" s="2" t="s">
        <v>811</v>
      </c>
      <c r="G41" s="2" t="s">
        <v>3336</v>
      </c>
      <c r="H41" s="3" t="s">
        <v>197</v>
      </c>
      <c r="I41" s="197" t="s">
        <v>412</v>
      </c>
      <c r="J41" s="197" t="s">
        <v>4079</v>
      </c>
      <c r="K41" s="2" t="s">
        <v>3086</v>
      </c>
      <c r="L41" s="2" t="s">
        <v>3087</v>
      </c>
      <c r="M41" s="2" t="s">
        <v>3088</v>
      </c>
      <c r="N41" s="3" t="s">
        <v>3514</v>
      </c>
      <c r="O41" s="197" t="s">
        <v>349</v>
      </c>
      <c r="P41" s="245" t="s">
        <v>517</v>
      </c>
      <c r="Q41" s="7" t="s">
        <v>350</v>
      </c>
      <c r="R41" s="2" t="s">
        <v>351</v>
      </c>
      <c r="S41" s="2" t="s">
        <v>352</v>
      </c>
      <c r="T41" s="3" t="s">
        <v>483</v>
      </c>
    </row>
    <row r="42" spans="1:20" ht="12.9" customHeight="1" x14ac:dyDescent="0.2">
      <c r="A42" s="505">
        <v>2012</v>
      </c>
      <c r="B42" s="505">
        <v>44</v>
      </c>
      <c r="C42" s="197" t="s">
        <v>4009</v>
      </c>
      <c r="D42" s="197" t="s">
        <v>1240</v>
      </c>
      <c r="E42" s="2" t="s">
        <v>1217</v>
      </c>
      <c r="F42" s="2" t="s">
        <v>1218</v>
      </c>
      <c r="G42" s="2" t="s">
        <v>2144</v>
      </c>
      <c r="H42" s="3" t="s">
        <v>1219</v>
      </c>
      <c r="I42" s="504" t="s">
        <v>1792</v>
      </c>
      <c r="J42" s="504" t="s">
        <v>1286</v>
      </c>
      <c r="K42" s="2" t="s">
        <v>2409</v>
      </c>
      <c r="L42" s="2" t="s">
        <v>2410</v>
      </c>
      <c r="M42" s="2" t="s">
        <v>2412</v>
      </c>
      <c r="N42" s="3" t="s">
        <v>2411</v>
      </c>
      <c r="O42" s="197" t="s">
        <v>4007</v>
      </c>
      <c r="P42" s="197" t="s">
        <v>2768</v>
      </c>
      <c r="Q42" s="7" t="s">
        <v>4416</v>
      </c>
      <c r="R42" s="2" t="s">
        <v>1786</v>
      </c>
      <c r="S42" s="2" t="s">
        <v>3969</v>
      </c>
      <c r="T42" s="3" t="s">
        <v>3079</v>
      </c>
    </row>
    <row r="43" spans="1:20" ht="12.9" customHeight="1" x14ac:dyDescent="0.2">
      <c r="A43" s="505">
        <v>2013</v>
      </c>
      <c r="B43" s="505">
        <v>38</v>
      </c>
      <c r="C43" s="504" t="s">
        <v>2342</v>
      </c>
      <c r="D43" s="504" t="s">
        <v>2214</v>
      </c>
      <c r="E43" s="2" t="s">
        <v>2411</v>
      </c>
      <c r="F43" s="2" t="s">
        <v>2410</v>
      </c>
      <c r="G43" s="2" t="s">
        <v>474</v>
      </c>
      <c r="H43" s="3" t="s">
        <v>2972</v>
      </c>
      <c r="I43" s="197" t="s">
        <v>4017</v>
      </c>
      <c r="J43" s="197" t="s">
        <v>2213</v>
      </c>
      <c r="K43" s="2" t="s">
        <v>1243</v>
      </c>
      <c r="L43" s="2" t="s">
        <v>1244</v>
      </c>
      <c r="M43" s="2" t="s">
        <v>1245</v>
      </c>
      <c r="N43" s="2" t="s">
        <v>1246</v>
      </c>
      <c r="O43" s="197" t="s">
        <v>3116</v>
      </c>
      <c r="P43" s="197" t="s">
        <v>2733</v>
      </c>
      <c r="Q43" s="7" t="s">
        <v>1045</v>
      </c>
      <c r="R43" s="2" t="s">
        <v>1048</v>
      </c>
      <c r="S43" s="2" t="s">
        <v>1051</v>
      </c>
      <c r="T43" s="3" t="s">
        <v>1054</v>
      </c>
    </row>
    <row r="44" spans="1:20" ht="12.9" customHeight="1" x14ac:dyDescent="0.2">
      <c r="A44" s="505">
        <v>2014</v>
      </c>
      <c r="B44" s="505">
        <v>42</v>
      </c>
      <c r="C44" s="197" t="s">
        <v>4017</v>
      </c>
      <c r="D44" s="197" t="s">
        <v>2213</v>
      </c>
      <c r="E44" s="2" t="s">
        <v>1243</v>
      </c>
      <c r="F44" s="2" t="s">
        <v>1244</v>
      </c>
      <c r="G44" s="2" t="s">
        <v>1245</v>
      </c>
      <c r="H44" s="2" t="s">
        <v>1246</v>
      </c>
      <c r="I44" s="197" t="s">
        <v>2857</v>
      </c>
      <c r="J44" s="245" t="s">
        <v>1011</v>
      </c>
      <c r="K44" s="2" t="s">
        <v>1057</v>
      </c>
      <c r="L44" s="2" t="s">
        <v>2748</v>
      </c>
      <c r="M44" s="2" t="s">
        <v>437</v>
      </c>
      <c r="N44" s="2" t="s">
        <v>1059</v>
      </c>
      <c r="O44" s="197" t="s">
        <v>3116</v>
      </c>
      <c r="P44" s="197" t="s">
        <v>2733</v>
      </c>
      <c r="Q44" s="7" t="s">
        <v>1046</v>
      </c>
      <c r="R44" s="2" t="s">
        <v>1049</v>
      </c>
      <c r="S44" s="2" t="s">
        <v>1052</v>
      </c>
      <c r="T44" s="3" t="s">
        <v>1055</v>
      </c>
    </row>
    <row r="45" spans="1:20" ht="12.9" customHeight="1" x14ac:dyDescent="0.2">
      <c r="A45" s="505">
        <v>2015</v>
      </c>
      <c r="B45" s="505">
        <v>48</v>
      </c>
      <c r="C45" s="197" t="s">
        <v>2699</v>
      </c>
      <c r="D45" s="261" t="s">
        <v>1008</v>
      </c>
      <c r="E45" s="7" t="s">
        <v>2700</v>
      </c>
      <c r="F45" s="2" t="s">
        <v>2701</v>
      </c>
      <c r="G45" s="2" t="s">
        <v>2702</v>
      </c>
      <c r="H45" s="3" t="s">
        <v>2703</v>
      </c>
      <c r="I45" s="197" t="s">
        <v>2857</v>
      </c>
      <c r="J45" s="245" t="s">
        <v>1011</v>
      </c>
      <c r="K45" s="2" t="s">
        <v>1058</v>
      </c>
      <c r="L45" s="2" t="s">
        <v>450</v>
      </c>
      <c r="M45" s="2" t="s">
        <v>2425</v>
      </c>
      <c r="N45" s="2" t="s">
        <v>1060</v>
      </c>
      <c r="O45" s="197" t="s">
        <v>944</v>
      </c>
      <c r="P45" s="197" t="s">
        <v>945</v>
      </c>
      <c r="Q45" s="7" t="s">
        <v>1047</v>
      </c>
      <c r="R45" s="2" t="s">
        <v>1050</v>
      </c>
      <c r="S45" s="2" t="s">
        <v>1053</v>
      </c>
      <c r="T45" s="3" t="s">
        <v>1056</v>
      </c>
    </row>
    <row r="46" spans="1:20" ht="12.9" customHeight="1" x14ac:dyDescent="0.2">
      <c r="A46" s="505">
        <v>2016</v>
      </c>
      <c r="B46" s="505">
        <v>29</v>
      </c>
      <c r="C46" s="197" t="s">
        <v>944</v>
      </c>
      <c r="D46" s="197" t="s">
        <v>945</v>
      </c>
      <c r="E46" s="7" t="s">
        <v>3568</v>
      </c>
      <c r="F46" s="2" t="s">
        <v>2693</v>
      </c>
      <c r="G46" s="2" t="s">
        <v>1053</v>
      </c>
      <c r="H46" s="3" t="s">
        <v>3265</v>
      </c>
      <c r="I46" s="197" t="s">
        <v>2857</v>
      </c>
      <c r="J46" s="245" t="s">
        <v>1011</v>
      </c>
      <c r="K46" s="2" t="s">
        <v>4413</v>
      </c>
      <c r="L46" s="2" t="s">
        <v>1218</v>
      </c>
      <c r="M46" s="2" t="s">
        <v>4414</v>
      </c>
      <c r="N46" s="2" t="s">
        <v>4415</v>
      </c>
      <c r="O46" s="197" t="s">
        <v>946</v>
      </c>
      <c r="P46" s="245" t="s">
        <v>947</v>
      </c>
      <c r="Q46" s="2" t="s">
        <v>4417</v>
      </c>
      <c r="R46" s="2" t="s">
        <v>2894</v>
      </c>
      <c r="S46" s="2" t="s">
        <v>948</v>
      </c>
      <c r="T46" s="3" t="s">
        <v>3351</v>
      </c>
    </row>
    <row r="47" spans="1:20" ht="12.9" customHeight="1" x14ac:dyDescent="0.2">
      <c r="A47" s="505">
        <v>2017</v>
      </c>
      <c r="B47" s="505">
        <v>38</v>
      </c>
      <c r="C47" s="197" t="s">
        <v>2857</v>
      </c>
      <c r="D47" s="245" t="s">
        <v>1011</v>
      </c>
      <c r="E47" s="2" t="s">
        <v>1057</v>
      </c>
      <c r="F47" s="2" t="s">
        <v>4462</v>
      </c>
      <c r="G47" s="2" t="s">
        <v>437</v>
      </c>
      <c r="H47" s="2" t="s">
        <v>1786</v>
      </c>
      <c r="I47" s="197" t="s">
        <v>946</v>
      </c>
      <c r="J47" s="245" t="s">
        <v>947</v>
      </c>
      <c r="K47" s="2" t="s">
        <v>3951</v>
      </c>
      <c r="L47" s="2" t="s">
        <v>2894</v>
      </c>
      <c r="M47" s="2" t="s">
        <v>4463</v>
      </c>
      <c r="N47" s="3" t="s">
        <v>3351</v>
      </c>
      <c r="O47" s="197" t="s">
        <v>1083</v>
      </c>
      <c r="P47" s="245" t="s">
        <v>1084</v>
      </c>
      <c r="Q47" s="2" t="s">
        <v>3086</v>
      </c>
      <c r="R47" s="2" t="s">
        <v>4464</v>
      </c>
      <c r="S47" s="2" t="s">
        <v>2696</v>
      </c>
      <c r="T47" s="3" t="s">
        <v>1242</v>
      </c>
    </row>
    <row r="48" spans="1:20" ht="12.9" customHeight="1" x14ac:dyDescent="0.2">
      <c r="A48" s="505">
        <v>2018</v>
      </c>
      <c r="B48" s="505">
        <v>31</v>
      </c>
      <c r="C48" s="197" t="s">
        <v>946</v>
      </c>
      <c r="D48" s="245" t="s">
        <v>4519</v>
      </c>
      <c r="E48" s="2" t="s">
        <v>3951</v>
      </c>
      <c r="F48" s="2" t="s">
        <v>2894</v>
      </c>
      <c r="G48" s="2" t="s">
        <v>948</v>
      </c>
      <c r="H48" s="2" t="s">
        <v>3351</v>
      </c>
      <c r="I48" s="197" t="s">
        <v>4465</v>
      </c>
      <c r="J48" s="245" t="s">
        <v>593</v>
      </c>
      <c r="K48" s="2" t="s">
        <v>4517</v>
      </c>
      <c r="L48" s="2" t="s">
        <v>4334</v>
      </c>
      <c r="M48" s="2" t="s">
        <v>4335</v>
      </c>
      <c r="N48" s="2" t="s">
        <v>4336</v>
      </c>
      <c r="O48" s="197" t="s">
        <v>4515</v>
      </c>
      <c r="P48" s="197" t="s">
        <v>4595</v>
      </c>
      <c r="Q48" s="2" t="s">
        <v>4331</v>
      </c>
      <c r="R48" s="2" t="s">
        <v>811</v>
      </c>
      <c r="S48" s="2" t="s">
        <v>2696</v>
      </c>
      <c r="T48" s="3" t="s">
        <v>4516</v>
      </c>
    </row>
    <row r="49" spans="1:20" ht="12.9" customHeight="1" x14ac:dyDescent="0.2">
      <c r="A49" s="505">
        <v>2019</v>
      </c>
      <c r="B49" s="505">
        <v>36</v>
      </c>
      <c r="C49" s="197" t="s">
        <v>4465</v>
      </c>
      <c r="D49" s="245" t="s">
        <v>593</v>
      </c>
      <c r="E49" s="2" t="s">
        <v>4517</v>
      </c>
      <c r="F49" s="2" t="s">
        <v>4334</v>
      </c>
      <c r="G49" s="2" t="s">
        <v>4335</v>
      </c>
      <c r="H49" s="2" t="s">
        <v>4336</v>
      </c>
      <c r="I49" s="197" t="s">
        <v>1142</v>
      </c>
      <c r="J49" s="245" t="s">
        <v>4702</v>
      </c>
      <c r="K49" s="2" t="s">
        <v>921</v>
      </c>
      <c r="L49" s="2" t="s">
        <v>4758</v>
      </c>
      <c r="M49" s="2" t="s">
        <v>1245</v>
      </c>
      <c r="N49" s="2" t="s">
        <v>924</v>
      </c>
      <c r="O49" s="197" t="s">
        <v>4515</v>
      </c>
      <c r="P49" s="197" t="s">
        <v>4595</v>
      </c>
      <c r="Q49" s="2" t="s">
        <v>4331</v>
      </c>
      <c r="R49" s="2" t="s">
        <v>811</v>
      </c>
      <c r="S49" s="2" t="s">
        <v>1098</v>
      </c>
      <c r="T49" s="3" t="s">
        <v>4516</v>
      </c>
    </row>
    <row r="50" spans="1:20" ht="12.9" customHeight="1" x14ac:dyDescent="0.2">
      <c r="A50" s="496"/>
      <c r="B50" s="496"/>
      <c r="C50" s="498"/>
      <c r="D50" s="198"/>
      <c r="E50" s="4"/>
      <c r="F50" s="4"/>
      <c r="G50" s="4"/>
      <c r="H50" s="5"/>
      <c r="I50" s="498"/>
      <c r="J50" s="198"/>
      <c r="K50" s="4"/>
      <c r="L50" s="4"/>
      <c r="M50" s="4"/>
      <c r="N50" s="5"/>
      <c r="O50" s="506"/>
      <c r="P50" s="506"/>
      <c r="Q50" s="9"/>
      <c r="R50" s="4"/>
      <c r="S50" s="4"/>
      <c r="T50" s="5"/>
    </row>
    <row r="51" spans="1:20" ht="12.9" customHeight="1" x14ac:dyDescent="0.2">
      <c r="A51" s="2"/>
      <c r="B51" s="2"/>
      <c r="C51" s="280"/>
      <c r="D51" s="280"/>
      <c r="E51" s="2"/>
      <c r="F51" s="2"/>
      <c r="G51" s="2"/>
      <c r="H51" s="2"/>
      <c r="I51" s="280"/>
      <c r="J51" s="280"/>
      <c r="K51" s="2"/>
      <c r="L51" s="2"/>
      <c r="M51" s="2"/>
      <c r="N51" s="2"/>
      <c r="O51" s="280"/>
      <c r="P51" s="280"/>
      <c r="Q51" s="2"/>
      <c r="R51" s="2"/>
      <c r="S51" s="2"/>
      <c r="T51" s="2"/>
    </row>
    <row r="52" spans="1:20" ht="12.9" customHeight="1" x14ac:dyDescent="0.2">
      <c r="A52" s="2"/>
      <c r="B52" s="2"/>
      <c r="C52" s="280"/>
      <c r="D52" s="280"/>
      <c r="E52" s="2"/>
      <c r="F52" s="2"/>
      <c r="G52" s="2"/>
      <c r="H52" s="2"/>
      <c r="I52" s="280"/>
      <c r="J52" s="280"/>
      <c r="K52" s="2"/>
      <c r="L52" s="2"/>
      <c r="M52" s="2"/>
      <c r="N52" s="2"/>
      <c r="O52" s="280"/>
      <c r="P52" s="280"/>
      <c r="Q52" s="2"/>
      <c r="R52" s="2"/>
      <c r="S52" s="2"/>
      <c r="T52" s="2"/>
    </row>
    <row r="53" spans="1:20" ht="12.9" customHeight="1" x14ac:dyDescent="0.2">
      <c r="A53" s="2"/>
      <c r="B53" s="2"/>
      <c r="C53" s="280"/>
      <c r="D53" s="280"/>
      <c r="E53" s="2"/>
      <c r="F53" s="2"/>
      <c r="G53" s="2"/>
      <c r="H53" s="2"/>
      <c r="I53" s="280"/>
      <c r="J53" s="280"/>
      <c r="K53" s="2"/>
      <c r="L53" s="2"/>
      <c r="M53" s="2"/>
      <c r="N53" s="2"/>
      <c r="O53" s="280"/>
      <c r="P53" s="280"/>
      <c r="Q53" s="2"/>
      <c r="R53" s="2"/>
      <c r="S53" s="2"/>
      <c r="T53" s="2"/>
    </row>
    <row r="54" spans="1:20" s="507" customFormat="1" ht="12.9" customHeight="1" x14ac:dyDescent="0.2">
      <c r="A54" s="2"/>
      <c r="B54" s="2"/>
    </row>
    <row r="55" spans="1:20" ht="12.9" customHeight="1" x14ac:dyDescent="0.2">
      <c r="A55" s="2"/>
      <c r="B55" s="2"/>
      <c r="C55" s="280"/>
      <c r="D55" s="280"/>
      <c r="E55" s="2"/>
      <c r="F55" s="2"/>
      <c r="G55" s="2"/>
      <c r="H55" s="2"/>
      <c r="I55" s="280"/>
      <c r="J55" s="280"/>
      <c r="K55" s="2"/>
      <c r="L55" s="2"/>
      <c r="M55" s="2"/>
      <c r="N55" s="2"/>
      <c r="O55" s="280"/>
      <c r="P55" s="280"/>
      <c r="Q55" s="2"/>
      <c r="R55" s="2"/>
      <c r="S55" s="2"/>
      <c r="T55" s="2"/>
    </row>
    <row r="56" spans="1:20" ht="12.9" customHeight="1" x14ac:dyDescent="0.2">
      <c r="A56" s="2"/>
      <c r="B56" s="2"/>
      <c r="C56" s="280"/>
      <c r="D56" s="280"/>
      <c r="E56" s="2"/>
      <c r="F56" s="2"/>
      <c r="G56" s="2"/>
      <c r="H56" s="2"/>
      <c r="I56" s="280"/>
      <c r="J56" s="280"/>
      <c r="K56" s="2"/>
      <c r="L56" s="2"/>
      <c r="M56" s="2"/>
      <c r="N56" s="2"/>
      <c r="O56" s="280"/>
      <c r="P56" s="280"/>
      <c r="Q56" s="2"/>
      <c r="R56" s="2"/>
      <c r="S56" s="2"/>
      <c r="T56" s="2"/>
    </row>
    <row r="57" spans="1:20" ht="12.9" customHeight="1" x14ac:dyDescent="0.2">
      <c r="A57" s="2"/>
      <c r="B57" s="2"/>
      <c r="C57" s="280"/>
      <c r="D57" s="280"/>
      <c r="E57" s="2"/>
      <c r="F57" s="2"/>
      <c r="G57" s="2"/>
      <c r="H57" s="2"/>
      <c r="I57" s="280"/>
      <c r="J57" s="280"/>
      <c r="K57" s="2"/>
      <c r="L57" s="2"/>
      <c r="M57" s="2"/>
      <c r="N57" s="2"/>
      <c r="O57" s="280"/>
      <c r="P57" s="280"/>
      <c r="Q57" s="2"/>
      <c r="R57" s="2"/>
      <c r="S57" s="2"/>
      <c r="T57" s="2"/>
    </row>
    <row r="58" spans="1:20" ht="12.9" customHeight="1" x14ac:dyDescent="0.2">
      <c r="A58" s="2"/>
      <c r="B58" s="2"/>
      <c r="C58" s="280"/>
      <c r="D58" s="280"/>
      <c r="E58" s="2"/>
      <c r="F58" s="2"/>
      <c r="G58" s="2"/>
      <c r="H58" s="2"/>
      <c r="I58" s="280"/>
      <c r="J58" s="280"/>
      <c r="K58" s="2"/>
      <c r="L58" s="2"/>
      <c r="M58" s="2"/>
      <c r="N58" s="2"/>
      <c r="O58" s="280"/>
      <c r="P58" s="280"/>
      <c r="Q58" s="2"/>
      <c r="R58" s="2"/>
      <c r="S58" s="2"/>
      <c r="T58" s="2"/>
    </row>
    <row r="59" spans="1:20" ht="12.9" customHeight="1" x14ac:dyDescent="0.2">
      <c r="A59" s="2"/>
      <c r="B59" s="2"/>
      <c r="C59" s="280"/>
      <c r="D59" s="280"/>
      <c r="E59" s="2"/>
      <c r="F59" s="2"/>
      <c r="G59" s="2"/>
      <c r="H59" s="2"/>
      <c r="I59" s="280"/>
      <c r="J59" s="280"/>
      <c r="K59" s="2"/>
      <c r="L59" s="2"/>
      <c r="M59" s="2"/>
      <c r="N59" s="2"/>
      <c r="O59" s="280"/>
      <c r="P59" s="280"/>
      <c r="Q59" s="2"/>
      <c r="R59" s="2"/>
      <c r="S59" s="2"/>
      <c r="T59" s="2"/>
    </row>
    <row r="60" spans="1:20" ht="12.9" customHeight="1" x14ac:dyDescent="0.2">
      <c r="A60" s="2"/>
      <c r="B60" s="2"/>
      <c r="C60" s="280"/>
      <c r="D60" s="280"/>
      <c r="E60" s="2"/>
      <c r="F60" s="2"/>
      <c r="G60" s="2"/>
      <c r="H60" s="2"/>
      <c r="I60" s="280"/>
      <c r="J60" s="280"/>
      <c r="K60" s="2"/>
      <c r="L60" s="2"/>
      <c r="M60" s="2"/>
      <c r="N60" s="2"/>
      <c r="O60" s="280"/>
      <c r="P60" s="280"/>
      <c r="Q60" s="2"/>
      <c r="R60" s="2"/>
      <c r="S60" s="2"/>
      <c r="T60" s="2"/>
    </row>
    <row r="61" spans="1:20" ht="12.9" customHeight="1" x14ac:dyDescent="0.2">
      <c r="A61" s="2"/>
      <c r="B61" s="2"/>
      <c r="C61" s="280"/>
      <c r="D61" s="280"/>
      <c r="E61" s="2"/>
      <c r="F61" s="2"/>
      <c r="G61" s="2"/>
      <c r="H61" s="2"/>
      <c r="I61" s="280"/>
      <c r="J61" s="280"/>
      <c r="K61" s="2"/>
      <c r="L61" s="2"/>
      <c r="M61" s="2"/>
      <c r="N61" s="2"/>
      <c r="O61" s="280"/>
      <c r="P61" s="280"/>
      <c r="Q61" s="2"/>
      <c r="R61" s="2"/>
      <c r="S61" s="2"/>
      <c r="T61" s="2"/>
    </row>
    <row r="62" spans="1:20" ht="12.9" customHeight="1" x14ac:dyDescent="0.2">
      <c r="A62" s="2"/>
      <c r="B62" s="2"/>
      <c r="C62" s="280"/>
      <c r="D62" s="280"/>
      <c r="E62" s="2"/>
      <c r="F62" s="2"/>
      <c r="G62" s="2"/>
      <c r="H62" s="2"/>
      <c r="I62" s="280"/>
      <c r="J62" s="280"/>
      <c r="K62" s="2"/>
      <c r="L62" s="2"/>
      <c r="M62" s="2"/>
      <c r="N62" s="2"/>
      <c r="O62" s="280"/>
      <c r="P62" s="280"/>
      <c r="Q62" s="2"/>
      <c r="R62" s="2"/>
      <c r="S62" s="2"/>
      <c r="T62" s="2"/>
    </row>
    <row r="63" spans="1:20" ht="12.9" customHeight="1" x14ac:dyDescent="0.2">
      <c r="A63" s="2"/>
      <c r="B63" s="2"/>
      <c r="C63" s="280"/>
      <c r="D63" s="280"/>
      <c r="E63" s="2"/>
      <c r="F63" s="2"/>
      <c r="G63" s="2"/>
      <c r="H63" s="2"/>
      <c r="I63" s="280"/>
      <c r="J63" s="280"/>
      <c r="K63" s="2"/>
      <c r="L63" s="2"/>
      <c r="M63" s="2"/>
      <c r="N63" s="2"/>
      <c r="O63" s="280"/>
      <c r="P63" s="280"/>
      <c r="Q63" s="2"/>
      <c r="R63" s="2"/>
      <c r="S63" s="2"/>
      <c r="T63" s="2"/>
    </row>
    <row r="64" spans="1:20" ht="12.9" customHeight="1" x14ac:dyDescent="0.2">
      <c r="A64" s="2"/>
      <c r="B64" s="2"/>
      <c r="C64" s="280"/>
      <c r="D64" s="280"/>
      <c r="E64" s="2"/>
      <c r="F64" s="2"/>
      <c r="G64" s="2"/>
      <c r="H64" s="2"/>
      <c r="I64" s="280"/>
      <c r="J64" s="280"/>
      <c r="K64" s="2"/>
      <c r="L64" s="2"/>
      <c r="M64" s="2"/>
      <c r="N64" s="2"/>
      <c r="O64" s="280"/>
      <c r="P64" s="280"/>
      <c r="Q64" s="2"/>
      <c r="R64" s="2"/>
      <c r="S64" s="2"/>
      <c r="T64" s="2"/>
    </row>
    <row r="65" spans="1:20" ht="12.9" customHeight="1" x14ac:dyDescent="0.2">
      <c r="A65" s="2"/>
      <c r="B65" s="2"/>
      <c r="C65" s="280"/>
      <c r="D65" s="280"/>
      <c r="E65" s="2"/>
      <c r="F65" s="2"/>
      <c r="G65" s="2"/>
      <c r="H65" s="2"/>
      <c r="I65" s="280"/>
      <c r="J65" s="280"/>
      <c r="K65" s="2"/>
      <c r="L65" s="2"/>
      <c r="M65" s="2"/>
      <c r="N65" s="2"/>
      <c r="O65" s="280"/>
      <c r="P65" s="280"/>
      <c r="Q65" s="2"/>
      <c r="R65" s="2"/>
      <c r="S65" s="2"/>
      <c r="T65" s="2"/>
    </row>
    <row r="66" spans="1:20" ht="12.9" customHeight="1" x14ac:dyDescent="0.2">
      <c r="A66" s="2"/>
      <c r="B66" s="2"/>
      <c r="C66" s="280"/>
      <c r="D66" s="280"/>
      <c r="E66" s="2"/>
      <c r="F66" s="2"/>
      <c r="G66" s="2"/>
      <c r="H66" s="2"/>
      <c r="I66" s="280"/>
      <c r="J66" s="280"/>
      <c r="K66" s="2"/>
      <c r="L66" s="2"/>
      <c r="M66" s="2"/>
      <c r="N66" s="2"/>
      <c r="O66" s="280"/>
      <c r="P66" s="280"/>
      <c r="Q66" s="2"/>
      <c r="R66" s="2"/>
      <c r="S66" s="2"/>
      <c r="T66" s="2"/>
    </row>
    <row r="67" spans="1:20" ht="12.9" customHeight="1" x14ac:dyDescent="0.2">
      <c r="A67" s="2"/>
      <c r="B67" s="2"/>
      <c r="C67" s="280"/>
      <c r="D67" s="280"/>
      <c r="E67" s="2"/>
      <c r="F67" s="2"/>
      <c r="G67" s="2"/>
      <c r="H67" s="2"/>
      <c r="I67" s="280"/>
      <c r="J67" s="280"/>
      <c r="K67" s="2"/>
      <c r="L67" s="2"/>
      <c r="M67" s="2"/>
      <c r="N67" s="2"/>
      <c r="O67" s="280"/>
      <c r="P67" s="280"/>
      <c r="Q67" s="2"/>
      <c r="R67" s="2"/>
      <c r="S67" s="2"/>
      <c r="T67" s="2"/>
    </row>
    <row r="68" spans="1:20" ht="12.9" customHeight="1" x14ac:dyDescent="0.2">
      <c r="A68" s="2"/>
      <c r="B68" s="2"/>
      <c r="C68" s="280"/>
      <c r="D68" s="280"/>
      <c r="E68" s="2"/>
      <c r="F68" s="2"/>
      <c r="G68" s="2"/>
      <c r="H68" s="2"/>
      <c r="I68" s="280"/>
      <c r="J68" s="280"/>
      <c r="K68" s="2"/>
      <c r="L68" s="2"/>
      <c r="M68" s="2"/>
      <c r="N68" s="2"/>
      <c r="O68" s="280"/>
      <c r="P68" s="280"/>
      <c r="Q68" s="2"/>
      <c r="R68" s="2"/>
      <c r="S68" s="2"/>
      <c r="T68" s="2"/>
    </row>
    <row r="69" spans="1:20" ht="12.9" customHeight="1" x14ac:dyDescent="0.2">
      <c r="A69" s="2"/>
      <c r="B69" s="2"/>
      <c r="C69" s="280"/>
      <c r="D69" s="280"/>
      <c r="E69" s="2"/>
      <c r="F69" s="2"/>
      <c r="G69" s="2"/>
      <c r="H69" s="2"/>
      <c r="I69" s="280"/>
      <c r="J69" s="280"/>
      <c r="K69" s="2"/>
      <c r="L69" s="2"/>
      <c r="M69" s="2"/>
      <c r="N69" s="2"/>
      <c r="O69" s="280"/>
      <c r="P69" s="280"/>
      <c r="Q69" s="2"/>
      <c r="R69" s="2"/>
      <c r="S69" s="2"/>
      <c r="T69" s="2"/>
    </row>
    <row r="70" spans="1:20" ht="12.9" customHeight="1" x14ac:dyDescent="0.2">
      <c r="A70" s="2"/>
      <c r="B70" s="2"/>
      <c r="C70" s="280"/>
      <c r="D70" s="280"/>
      <c r="E70" s="2"/>
      <c r="F70" s="2"/>
      <c r="G70" s="2"/>
      <c r="H70" s="2"/>
      <c r="I70" s="280"/>
      <c r="J70" s="280"/>
      <c r="K70" s="2"/>
      <c r="L70" s="2"/>
      <c r="M70" s="2"/>
      <c r="N70" s="2"/>
      <c r="O70" s="280"/>
      <c r="P70" s="280"/>
      <c r="Q70" s="2"/>
      <c r="R70" s="2"/>
      <c r="S70" s="2"/>
      <c r="T70" s="2"/>
    </row>
    <row r="71" spans="1:20" ht="12.9" customHeight="1" x14ac:dyDescent="0.2">
      <c r="A71" s="2"/>
      <c r="B71" s="2"/>
      <c r="C71" s="280"/>
      <c r="D71" s="280"/>
      <c r="E71" s="2"/>
      <c r="F71" s="2"/>
      <c r="G71" s="2"/>
      <c r="H71" s="2"/>
      <c r="I71" s="280"/>
      <c r="J71" s="280"/>
      <c r="K71" s="2"/>
      <c r="L71" s="2"/>
      <c r="M71" s="2"/>
      <c r="N71" s="2"/>
      <c r="O71" s="280"/>
      <c r="P71" s="280"/>
      <c r="Q71" s="2"/>
      <c r="R71" s="2"/>
      <c r="S71" s="2"/>
      <c r="T71" s="2"/>
    </row>
    <row r="72" spans="1:20" ht="12.9" customHeight="1" x14ac:dyDescent="0.2">
      <c r="A72" s="2"/>
      <c r="B72" s="2"/>
      <c r="C72" s="280"/>
      <c r="D72" s="280"/>
      <c r="E72" s="2"/>
      <c r="F72" s="2"/>
      <c r="G72" s="2"/>
      <c r="H72" s="2"/>
      <c r="I72" s="280"/>
      <c r="J72" s="280"/>
      <c r="K72" s="2"/>
      <c r="L72" s="2"/>
      <c r="M72" s="2"/>
      <c r="N72" s="2"/>
      <c r="O72" s="280"/>
      <c r="P72" s="280"/>
      <c r="Q72" s="2"/>
      <c r="R72" s="2"/>
      <c r="S72" s="2"/>
      <c r="T72" s="2"/>
    </row>
    <row r="73" spans="1:20" ht="12.9" customHeight="1" x14ac:dyDescent="0.2">
      <c r="A73" s="2"/>
      <c r="B73" s="2"/>
      <c r="C73" s="280"/>
      <c r="D73" s="280"/>
      <c r="E73" s="2"/>
      <c r="F73" s="2"/>
      <c r="G73" s="2"/>
      <c r="H73" s="2"/>
      <c r="I73" s="280"/>
      <c r="J73" s="280"/>
      <c r="K73" s="2"/>
      <c r="L73" s="2"/>
      <c r="M73" s="2"/>
      <c r="N73" s="2"/>
      <c r="O73" s="280"/>
      <c r="P73" s="280"/>
      <c r="Q73" s="2"/>
      <c r="R73" s="2"/>
      <c r="S73" s="2"/>
      <c r="T73" s="2"/>
    </row>
    <row r="74" spans="1:20" ht="12.9" customHeight="1" x14ac:dyDescent="0.2">
      <c r="M74" s="2"/>
    </row>
    <row r="75" spans="1:20" ht="12.9" customHeight="1" x14ac:dyDescent="0.2">
      <c r="A75" s="509" t="s">
        <v>2012</v>
      </c>
      <c r="B75" s="494"/>
      <c r="C75" s="675" t="s">
        <v>2260</v>
      </c>
      <c r="D75" s="676"/>
      <c r="E75" s="676"/>
      <c r="F75" s="676"/>
      <c r="G75" s="676"/>
      <c r="H75" s="677"/>
      <c r="I75" s="675" t="s">
        <v>2261</v>
      </c>
      <c r="J75" s="676"/>
      <c r="K75" s="676"/>
      <c r="L75" s="676"/>
      <c r="M75" s="676"/>
      <c r="N75" s="677"/>
      <c r="O75" s="675" t="s">
        <v>2262</v>
      </c>
      <c r="P75" s="676"/>
      <c r="Q75" s="676"/>
      <c r="R75" s="676"/>
      <c r="S75" s="676"/>
      <c r="T75" s="677"/>
    </row>
    <row r="76" spans="1:20" ht="12.9" customHeight="1" x14ac:dyDescent="0.2">
      <c r="A76" s="510" t="s">
        <v>2263</v>
      </c>
      <c r="B76" s="9"/>
      <c r="C76" s="498"/>
      <c r="D76" s="498"/>
      <c r="E76" s="4" t="s">
        <v>2017</v>
      </c>
      <c r="F76" s="4" t="s">
        <v>2018</v>
      </c>
      <c r="G76" s="4" t="s">
        <v>2019</v>
      </c>
      <c r="H76" s="5" t="s">
        <v>2020</v>
      </c>
      <c r="I76" s="497"/>
      <c r="J76" s="498"/>
      <c r="K76" s="4" t="s">
        <v>2017</v>
      </c>
      <c r="L76" s="4" t="s">
        <v>2018</v>
      </c>
      <c r="M76" s="4" t="s">
        <v>2019</v>
      </c>
      <c r="N76" s="5" t="s">
        <v>2020</v>
      </c>
      <c r="O76" s="497"/>
      <c r="P76" s="498"/>
      <c r="Q76" s="4" t="s">
        <v>2017</v>
      </c>
      <c r="R76" s="4" t="s">
        <v>2018</v>
      </c>
      <c r="S76" s="4" t="s">
        <v>2019</v>
      </c>
      <c r="T76" s="5" t="s">
        <v>2020</v>
      </c>
    </row>
    <row r="77" spans="1:20" ht="12.9" customHeight="1" x14ac:dyDescent="0.2">
      <c r="A77" s="511" t="s">
        <v>707</v>
      </c>
      <c r="B77" s="7"/>
      <c r="C77" s="197" t="s">
        <v>574</v>
      </c>
      <c r="D77" s="197" t="s">
        <v>2029</v>
      </c>
      <c r="E77" s="1" t="s">
        <v>597</v>
      </c>
      <c r="F77" s="1" t="s">
        <v>2265</v>
      </c>
      <c r="G77" s="1" t="s">
        <v>513</v>
      </c>
      <c r="H77" s="1" t="s">
        <v>514</v>
      </c>
      <c r="I77" s="197" t="s">
        <v>515</v>
      </c>
      <c r="J77" s="197" t="s">
        <v>2029</v>
      </c>
      <c r="K77" s="1" t="s">
        <v>592</v>
      </c>
      <c r="L77" s="1" t="s">
        <v>593</v>
      </c>
      <c r="M77" s="1" t="s">
        <v>594</v>
      </c>
      <c r="N77" s="1" t="s">
        <v>595</v>
      </c>
      <c r="O77" s="197" t="s">
        <v>3381</v>
      </c>
      <c r="P77" s="197" t="s">
        <v>703</v>
      </c>
      <c r="Q77" s="2" t="s">
        <v>40</v>
      </c>
      <c r="R77" s="2" t="s">
        <v>2531</v>
      </c>
      <c r="S77" s="2" t="s">
        <v>3206</v>
      </c>
      <c r="T77" s="3" t="s">
        <v>3208</v>
      </c>
    </row>
    <row r="78" spans="1:20" ht="12.9" customHeight="1" x14ac:dyDescent="0.2">
      <c r="A78" s="7" t="s">
        <v>2264</v>
      </c>
      <c r="B78" s="7"/>
      <c r="C78" s="197" t="s">
        <v>574</v>
      </c>
      <c r="D78" s="197" t="s">
        <v>2029</v>
      </c>
      <c r="E78" s="1" t="s">
        <v>597</v>
      </c>
      <c r="F78" s="1" t="s">
        <v>2265</v>
      </c>
      <c r="G78" s="1" t="s">
        <v>513</v>
      </c>
      <c r="H78" s="1" t="s">
        <v>514</v>
      </c>
      <c r="I78" s="197" t="s">
        <v>515</v>
      </c>
      <c r="J78" s="197" t="s">
        <v>2029</v>
      </c>
      <c r="K78" s="1" t="s">
        <v>592</v>
      </c>
      <c r="L78" s="1" t="s">
        <v>593</v>
      </c>
      <c r="M78" s="1" t="s">
        <v>594</v>
      </c>
      <c r="N78" s="1" t="s">
        <v>595</v>
      </c>
      <c r="O78" s="405" t="s">
        <v>516</v>
      </c>
      <c r="P78" s="197" t="s">
        <v>517</v>
      </c>
      <c r="Q78" s="2" t="s">
        <v>4235</v>
      </c>
      <c r="R78" s="2" t="s">
        <v>4236</v>
      </c>
      <c r="S78" s="2" t="s">
        <v>4237</v>
      </c>
      <c r="T78" s="3" t="s">
        <v>4238</v>
      </c>
    </row>
    <row r="79" spans="1:20" ht="12.9" customHeight="1" x14ac:dyDescent="0.2">
      <c r="A79" s="7" t="s">
        <v>2266</v>
      </c>
      <c r="B79" s="7"/>
      <c r="C79" s="197" t="s">
        <v>3204</v>
      </c>
      <c r="D79" s="197" t="s">
        <v>2267</v>
      </c>
      <c r="E79" s="2" t="s">
        <v>3205</v>
      </c>
      <c r="F79" s="2" t="s">
        <v>3206</v>
      </c>
      <c r="G79" s="2" t="s">
        <v>2268</v>
      </c>
      <c r="H79" s="2" t="s">
        <v>3208</v>
      </c>
      <c r="I79" s="197" t="s">
        <v>2269</v>
      </c>
      <c r="J79" s="197" t="s">
        <v>517</v>
      </c>
      <c r="K79" s="2" t="s">
        <v>2795</v>
      </c>
      <c r="L79" s="2" t="s">
        <v>2270</v>
      </c>
      <c r="M79" s="2" t="s">
        <v>1697</v>
      </c>
      <c r="N79" s="2" t="s">
        <v>3248</v>
      </c>
      <c r="O79" s="405" t="s">
        <v>2271</v>
      </c>
      <c r="P79" s="197" t="s">
        <v>2272</v>
      </c>
      <c r="Q79" s="2" t="s">
        <v>2273</v>
      </c>
      <c r="R79" s="2" t="s">
        <v>1368</v>
      </c>
      <c r="S79" s="2" t="s">
        <v>2274</v>
      </c>
      <c r="T79" s="3" t="s">
        <v>280</v>
      </c>
    </row>
    <row r="80" spans="1:20" ht="12.9" customHeight="1" x14ac:dyDescent="0.2">
      <c r="A80" s="7" t="s">
        <v>2275</v>
      </c>
      <c r="B80" s="7"/>
      <c r="C80" s="512" t="s">
        <v>723</v>
      </c>
      <c r="D80" s="197"/>
      <c r="E80" s="2" t="s">
        <v>3215</v>
      </c>
      <c r="F80" s="2" t="s">
        <v>3215</v>
      </c>
      <c r="G80" s="2" t="s">
        <v>3215</v>
      </c>
      <c r="H80" s="3" t="s">
        <v>3215</v>
      </c>
      <c r="I80" s="405" t="s">
        <v>3215</v>
      </c>
      <c r="J80" s="197" t="s">
        <v>3215</v>
      </c>
      <c r="K80" s="2" t="s">
        <v>3215</v>
      </c>
      <c r="L80" s="2" t="s">
        <v>3215</v>
      </c>
      <c r="M80" s="2" t="s">
        <v>3215</v>
      </c>
      <c r="N80" s="3" t="s">
        <v>3215</v>
      </c>
      <c r="O80" s="405" t="s">
        <v>3215</v>
      </c>
      <c r="P80" s="197" t="s">
        <v>3215</v>
      </c>
      <c r="Q80" s="1" t="s">
        <v>3215</v>
      </c>
      <c r="R80" s="1" t="s">
        <v>3215</v>
      </c>
      <c r="S80" s="1" t="s">
        <v>3215</v>
      </c>
      <c r="T80" s="3" t="s">
        <v>3215</v>
      </c>
    </row>
    <row r="81" spans="1:20" ht="12.9" customHeight="1" x14ac:dyDescent="0.2">
      <c r="A81" s="7" t="s">
        <v>2276</v>
      </c>
      <c r="B81" s="7"/>
      <c r="C81" s="513" t="s">
        <v>2277</v>
      </c>
      <c r="D81" s="197"/>
      <c r="E81" s="2"/>
      <c r="F81" s="2" t="s">
        <v>3215</v>
      </c>
      <c r="G81" s="2" t="s">
        <v>3215</v>
      </c>
      <c r="H81" s="3" t="s">
        <v>3215</v>
      </c>
      <c r="I81" s="405" t="s">
        <v>3215</v>
      </c>
      <c r="J81" s="197" t="s">
        <v>3215</v>
      </c>
      <c r="K81" s="2" t="s">
        <v>3215</v>
      </c>
      <c r="L81" s="2" t="s">
        <v>3215</v>
      </c>
      <c r="M81" s="2" t="s">
        <v>3215</v>
      </c>
      <c r="N81" s="3" t="s">
        <v>3215</v>
      </c>
      <c r="O81" s="405" t="s">
        <v>3215</v>
      </c>
      <c r="P81" s="197" t="s">
        <v>3215</v>
      </c>
      <c r="Q81" s="1" t="s">
        <v>3215</v>
      </c>
      <c r="R81" s="1" t="s">
        <v>3215</v>
      </c>
      <c r="S81" s="1" t="s">
        <v>3215</v>
      </c>
      <c r="T81" s="3" t="s">
        <v>3215</v>
      </c>
    </row>
    <row r="82" spans="1:20" ht="12.9" customHeight="1" x14ac:dyDescent="0.2">
      <c r="A82" s="7" t="s">
        <v>2278</v>
      </c>
      <c r="B82" s="7"/>
      <c r="C82" s="405" t="s">
        <v>3217</v>
      </c>
      <c r="D82" s="197" t="s">
        <v>579</v>
      </c>
      <c r="E82" s="2" t="s">
        <v>4261</v>
      </c>
      <c r="F82" s="2" t="s">
        <v>3219</v>
      </c>
      <c r="G82" s="2" t="s">
        <v>4262</v>
      </c>
      <c r="H82" s="3" t="s">
        <v>4263</v>
      </c>
      <c r="I82" s="405" t="s">
        <v>2279</v>
      </c>
      <c r="J82" s="197" t="s">
        <v>4177</v>
      </c>
      <c r="K82" s="1" t="s">
        <v>2280</v>
      </c>
      <c r="L82" s="1" t="s">
        <v>2784</v>
      </c>
      <c r="M82" s="1" t="s">
        <v>2785</v>
      </c>
      <c r="N82" s="1" t="s">
        <v>2786</v>
      </c>
      <c r="O82" s="405" t="s">
        <v>2787</v>
      </c>
      <c r="P82" s="197" t="s">
        <v>2272</v>
      </c>
      <c r="Q82" s="1" t="s">
        <v>2788</v>
      </c>
      <c r="R82" s="1" t="s">
        <v>2789</v>
      </c>
      <c r="S82" s="1" t="s">
        <v>2790</v>
      </c>
      <c r="T82" s="3" t="s">
        <v>1398</v>
      </c>
    </row>
    <row r="83" spans="1:20" ht="12.9" customHeight="1" x14ac:dyDescent="0.2">
      <c r="A83" s="7" t="s">
        <v>2791</v>
      </c>
      <c r="B83" s="7"/>
      <c r="C83" s="197" t="s">
        <v>2792</v>
      </c>
      <c r="D83" s="197" t="s">
        <v>517</v>
      </c>
      <c r="E83" s="1" t="s">
        <v>2793</v>
      </c>
      <c r="F83" s="1" t="s">
        <v>2270</v>
      </c>
      <c r="G83" s="1" t="s">
        <v>2794</v>
      </c>
      <c r="H83" s="1" t="s">
        <v>2795</v>
      </c>
      <c r="I83" s="405" t="s">
        <v>3217</v>
      </c>
      <c r="J83" s="197" t="s">
        <v>579</v>
      </c>
      <c r="K83" s="2" t="s">
        <v>3218</v>
      </c>
      <c r="L83" s="2" t="s">
        <v>3219</v>
      </c>
      <c r="M83" s="2" t="s">
        <v>3220</v>
      </c>
      <c r="N83" s="3" t="s">
        <v>2796</v>
      </c>
      <c r="O83" s="405" t="s">
        <v>2787</v>
      </c>
      <c r="P83" s="197" t="s">
        <v>2272</v>
      </c>
      <c r="Q83" s="1" t="s">
        <v>2797</v>
      </c>
      <c r="R83" s="1" t="s">
        <v>2247</v>
      </c>
      <c r="S83" s="1" t="s">
        <v>2248</v>
      </c>
      <c r="T83" s="3" t="s">
        <v>1399</v>
      </c>
    </row>
    <row r="84" spans="1:20" ht="12.9" customHeight="1" x14ac:dyDescent="0.2">
      <c r="A84" s="7" t="s">
        <v>2249</v>
      </c>
      <c r="B84" s="7"/>
      <c r="C84" s="197" t="s">
        <v>4172</v>
      </c>
      <c r="D84" s="197" t="s">
        <v>579</v>
      </c>
      <c r="E84" s="2" t="s">
        <v>4173</v>
      </c>
      <c r="F84" s="2" t="s">
        <v>581</v>
      </c>
      <c r="G84" s="2" t="s">
        <v>4174</v>
      </c>
      <c r="H84" s="2" t="s">
        <v>4175</v>
      </c>
      <c r="I84" s="405" t="s">
        <v>4176</v>
      </c>
      <c r="J84" s="197" t="s">
        <v>4177</v>
      </c>
      <c r="K84" s="1" t="s">
        <v>2780</v>
      </c>
      <c r="L84" s="1" t="s">
        <v>2781</v>
      </c>
      <c r="M84" s="1" t="s">
        <v>654</v>
      </c>
      <c r="N84" s="1" t="s">
        <v>4033</v>
      </c>
      <c r="O84" s="405" t="s">
        <v>655</v>
      </c>
      <c r="P84" s="197" t="s">
        <v>2029</v>
      </c>
      <c r="Q84" s="2" t="s">
        <v>656</v>
      </c>
      <c r="R84" s="2" t="s">
        <v>657</v>
      </c>
      <c r="S84" s="2" t="s">
        <v>658</v>
      </c>
      <c r="T84" s="3" t="s">
        <v>659</v>
      </c>
    </row>
    <row r="85" spans="1:20" ht="12.9" customHeight="1" x14ac:dyDescent="0.2">
      <c r="A85" s="7" t="s">
        <v>660</v>
      </c>
      <c r="B85" s="7"/>
      <c r="C85" s="405" t="s">
        <v>4176</v>
      </c>
      <c r="D85" s="197" t="s">
        <v>4177</v>
      </c>
      <c r="E85" s="1" t="s">
        <v>4178</v>
      </c>
      <c r="F85" s="1" t="s">
        <v>4031</v>
      </c>
      <c r="G85" s="1" t="s">
        <v>4032</v>
      </c>
      <c r="H85" s="1" t="s">
        <v>4033</v>
      </c>
      <c r="I85" s="197" t="s">
        <v>281</v>
      </c>
      <c r="J85" s="197" t="s">
        <v>28</v>
      </c>
      <c r="K85" s="2" t="s">
        <v>29</v>
      </c>
      <c r="L85" s="2" t="s">
        <v>30</v>
      </c>
      <c r="M85" s="2" t="s">
        <v>31</v>
      </c>
      <c r="N85" s="2" t="s">
        <v>599</v>
      </c>
      <c r="O85" s="405" t="s">
        <v>661</v>
      </c>
      <c r="P85" s="197" t="s">
        <v>517</v>
      </c>
      <c r="Q85" s="1" t="s">
        <v>2793</v>
      </c>
      <c r="R85" s="1" t="s">
        <v>662</v>
      </c>
      <c r="S85" s="1" t="s">
        <v>2798</v>
      </c>
      <c r="T85" s="3" t="s">
        <v>586</v>
      </c>
    </row>
    <row r="86" spans="1:20" ht="12.9" customHeight="1" x14ac:dyDescent="0.2">
      <c r="A86" s="7" t="s">
        <v>2799</v>
      </c>
      <c r="B86" s="7"/>
      <c r="C86" s="197" t="s">
        <v>2800</v>
      </c>
      <c r="D86" s="504" t="s">
        <v>2801</v>
      </c>
      <c r="E86" s="1" t="s">
        <v>4051</v>
      </c>
      <c r="F86" s="1" t="s">
        <v>4052</v>
      </c>
      <c r="G86" s="1" t="s">
        <v>2802</v>
      </c>
      <c r="H86" s="1" t="s">
        <v>45</v>
      </c>
      <c r="I86" s="405" t="s">
        <v>281</v>
      </c>
      <c r="J86" s="197" t="s">
        <v>28</v>
      </c>
      <c r="K86" s="2" t="s">
        <v>4084</v>
      </c>
      <c r="L86" s="2" t="s">
        <v>4085</v>
      </c>
      <c r="M86" s="2" t="s">
        <v>4086</v>
      </c>
      <c r="N86" s="3" t="s">
        <v>600</v>
      </c>
      <c r="O86" s="197" t="s">
        <v>2803</v>
      </c>
      <c r="P86" s="197" t="s">
        <v>2804</v>
      </c>
      <c r="Q86" s="1" t="s">
        <v>140</v>
      </c>
      <c r="R86" s="1" t="s">
        <v>2805</v>
      </c>
      <c r="S86" s="1" t="s">
        <v>2806</v>
      </c>
      <c r="T86" s="3" t="s">
        <v>142</v>
      </c>
    </row>
    <row r="87" spans="1:20" ht="12.9" customHeight="1" x14ac:dyDescent="0.2">
      <c r="A87" s="7" t="s">
        <v>2807</v>
      </c>
      <c r="B87" s="7"/>
      <c r="C87" s="197" t="s">
        <v>281</v>
      </c>
      <c r="D87" s="197" t="s">
        <v>28</v>
      </c>
      <c r="E87" s="2" t="s">
        <v>29</v>
      </c>
      <c r="F87" s="2" t="s">
        <v>30</v>
      </c>
      <c r="G87" s="2" t="s">
        <v>31</v>
      </c>
      <c r="H87" s="2" t="s">
        <v>599</v>
      </c>
      <c r="I87" s="197" t="s">
        <v>4061</v>
      </c>
      <c r="J87" s="504" t="s">
        <v>4062</v>
      </c>
      <c r="K87" s="1" t="s">
        <v>4063</v>
      </c>
      <c r="L87" s="1" t="s">
        <v>278</v>
      </c>
      <c r="M87" s="1" t="s">
        <v>279</v>
      </c>
      <c r="N87" s="1" t="s">
        <v>2808</v>
      </c>
      <c r="O87" s="197" t="s">
        <v>2803</v>
      </c>
      <c r="P87" s="197" t="s">
        <v>2804</v>
      </c>
      <c r="Q87" s="1" t="s">
        <v>1613</v>
      </c>
      <c r="R87" s="1" t="s">
        <v>2809</v>
      </c>
      <c r="S87" s="1" t="s">
        <v>2810</v>
      </c>
      <c r="T87" s="3" t="s">
        <v>2755</v>
      </c>
    </row>
    <row r="88" spans="1:20" ht="12.9" customHeight="1" x14ac:dyDescent="0.2">
      <c r="A88" s="7" t="s">
        <v>2811</v>
      </c>
      <c r="B88" s="7"/>
      <c r="C88" s="197" t="s">
        <v>38</v>
      </c>
      <c r="D88" s="197" t="s">
        <v>39</v>
      </c>
      <c r="E88" s="1" t="s">
        <v>40</v>
      </c>
      <c r="F88" s="1" t="s">
        <v>2812</v>
      </c>
      <c r="G88" s="1" t="s">
        <v>2268</v>
      </c>
      <c r="H88" s="1" t="s">
        <v>2813</v>
      </c>
      <c r="I88" s="197" t="s">
        <v>2800</v>
      </c>
      <c r="J88" s="504" t="s">
        <v>2801</v>
      </c>
      <c r="K88" s="1" t="s">
        <v>44</v>
      </c>
      <c r="L88" s="1" t="s">
        <v>4052</v>
      </c>
      <c r="M88" s="1" t="s">
        <v>2802</v>
      </c>
      <c r="N88" s="1" t="s">
        <v>4054</v>
      </c>
      <c r="O88" s="405" t="s">
        <v>281</v>
      </c>
      <c r="P88" s="197" t="s">
        <v>28</v>
      </c>
      <c r="Q88" s="2" t="s">
        <v>29</v>
      </c>
      <c r="R88" s="2" t="s">
        <v>30</v>
      </c>
      <c r="S88" s="2" t="s">
        <v>31</v>
      </c>
      <c r="T88" s="3" t="s">
        <v>599</v>
      </c>
    </row>
    <row r="89" spans="1:20" ht="12.9" customHeight="1" x14ac:dyDescent="0.2">
      <c r="A89" s="7" t="s">
        <v>2814</v>
      </c>
      <c r="B89" s="7"/>
      <c r="C89" s="197" t="s">
        <v>281</v>
      </c>
      <c r="D89" s="197" t="s">
        <v>28</v>
      </c>
      <c r="E89" s="2" t="s">
        <v>4084</v>
      </c>
      <c r="F89" s="2" t="s">
        <v>4085</v>
      </c>
      <c r="G89" s="2" t="s">
        <v>4086</v>
      </c>
      <c r="H89" s="2" t="s">
        <v>600</v>
      </c>
      <c r="I89" s="197" t="s">
        <v>38</v>
      </c>
      <c r="J89" s="197" t="s">
        <v>39</v>
      </c>
      <c r="K89" s="1" t="s">
        <v>40</v>
      </c>
      <c r="L89" s="1" t="s">
        <v>2812</v>
      </c>
      <c r="M89" s="1" t="s">
        <v>2268</v>
      </c>
      <c r="N89" s="1" t="s">
        <v>2813</v>
      </c>
      <c r="O89" s="197" t="s">
        <v>48</v>
      </c>
      <c r="P89" s="197" t="s">
        <v>49</v>
      </c>
      <c r="Q89" s="2" t="s">
        <v>458</v>
      </c>
      <c r="R89" s="2" t="s">
        <v>2705</v>
      </c>
      <c r="S89" s="2" t="s">
        <v>2706</v>
      </c>
      <c r="T89" s="3" t="s">
        <v>4068</v>
      </c>
    </row>
    <row r="90" spans="1:20" ht="12.9" customHeight="1" x14ac:dyDescent="0.2">
      <c r="A90" s="7" t="s">
        <v>2815</v>
      </c>
      <c r="B90" s="7"/>
      <c r="C90" s="197" t="s">
        <v>48</v>
      </c>
      <c r="D90" s="197" t="s">
        <v>49</v>
      </c>
      <c r="E90" s="2" t="s">
        <v>458</v>
      </c>
      <c r="F90" s="2" t="s">
        <v>2705</v>
      </c>
      <c r="G90" s="2" t="s">
        <v>2706</v>
      </c>
      <c r="H90" s="2" t="s">
        <v>4068</v>
      </c>
      <c r="I90" s="405" t="s">
        <v>281</v>
      </c>
      <c r="J90" s="197" t="s">
        <v>28</v>
      </c>
      <c r="K90" s="2" t="s">
        <v>152</v>
      </c>
      <c r="L90" s="2" t="s">
        <v>153</v>
      </c>
      <c r="M90" s="2" t="s">
        <v>154</v>
      </c>
      <c r="N90" s="3" t="s">
        <v>601</v>
      </c>
      <c r="O90" s="197" t="s">
        <v>138</v>
      </c>
      <c r="P90" s="197" t="s">
        <v>139</v>
      </c>
      <c r="Q90" s="1" t="s">
        <v>2816</v>
      </c>
      <c r="R90" s="1" t="s">
        <v>146</v>
      </c>
      <c r="S90" s="1" t="s">
        <v>2817</v>
      </c>
      <c r="T90" s="3" t="s">
        <v>2818</v>
      </c>
    </row>
    <row r="91" spans="1:20" ht="12.9" customHeight="1" x14ac:dyDescent="0.2">
      <c r="A91" s="7" t="s">
        <v>2819</v>
      </c>
      <c r="B91" s="7"/>
      <c r="C91" s="405" t="s">
        <v>281</v>
      </c>
      <c r="D91" s="197" t="s">
        <v>28</v>
      </c>
      <c r="E91" s="2" t="s">
        <v>152</v>
      </c>
      <c r="F91" s="2" t="s">
        <v>153</v>
      </c>
      <c r="G91" s="2" t="s">
        <v>154</v>
      </c>
      <c r="H91" s="3" t="s">
        <v>601</v>
      </c>
      <c r="I91" s="197" t="s">
        <v>138</v>
      </c>
      <c r="J91" s="197" t="s">
        <v>139</v>
      </c>
      <c r="K91" s="1" t="s">
        <v>140</v>
      </c>
      <c r="L91" s="1" t="s">
        <v>141</v>
      </c>
      <c r="M91" s="1" t="s">
        <v>142</v>
      </c>
      <c r="N91" s="1" t="s">
        <v>143</v>
      </c>
      <c r="O91" s="197" t="s">
        <v>2820</v>
      </c>
      <c r="P91" s="197" t="s">
        <v>517</v>
      </c>
      <c r="Q91" s="1" t="s">
        <v>2821</v>
      </c>
      <c r="R91" s="1" t="s">
        <v>2822</v>
      </c>
      <c r="S91" s="1" t="s">
        <v>2823</v>
      </c>
      <c r="T91" s="3" t="s">
        <v>2824</v>
      </c>
    </row>
    <row r="92" spans="1:20" ht="12.9" customHeight="1" x14ac:dyDescent="0.2">
      <c r="A92" s="7" t="s">
        <v>2825</v>
      </c>
      <c r="B92" s="7"/>
      <c r="C92" s="405" t="s">
        <v>281</v>
      </c>
      <c r="D92" s="197" t="s">
        <v>28</v>
      </c>
      <c r="E92" s="2" t="s">
        <v>3275</v>
      </c>
      <c r="F92" s="2" t="s">
        <v>3276</v>
      </c>
      <c r="G92" s="2" t="s">
        <v>3277</v>
      </c>
      <c r="H92" s="3" t="s">
        <v>605</v>
      </c>
      <c r="I92" s="197" t="s">
        <v>138</v>
      </c>
      <c r="J92" s="197" t="s">
        <v>139</v>
      </c>
      <c r="K92" s="1" t="s">
        <v>1613</v>
      </c>
      <c r="L92" s="1" t="s">
        <v>1614</v>
      </c>
      <c r="M92" s="1" t="s">
        <v>2755</v>
      </c>
      <c r="N92" s="1" t="s">
        <v>1622</v>
      </c>
      <c r="O92" s="197" t="s">
        <v>2820</v>
      </c>
      <c r="P92" s="197" t="s">
        <v>517</v>
      </c>
      <c r="Q92" s="1" t="s">
        <v>2826</v>
      </c>
      <c r="R92" s="1" t="s">
        <v>2827</v>
      </c>
      <c r="S92" s="1" t="s">
        <v>2828</v>
      </c>
      <c r="T92" s="3" t="s">
        <v>3515</v>
      </c>
    </row>
    <row r="93" spans="1:20" ht="12.9" customHeight="1" x14ac:dyDescent="0.2">
      <c r="A93" s="7" t="s">
        <v>3516</v>
      </c>
      <c r="B93" s="7"/>
      <c r="C93" s="197" t="s">
        <v>2820</v>
      </c>
      <c r="D93" s="197" t="s">
        <v>517</v>
      </c>
      <c r="E93" s="1" t="s">
        <v>3517</v>
      </c>
      <c r="F93" s="1" t="s">
        <v>662</v>
      </c>
      <c r="G93" s="1" t="s">
        <v>3518</v>
      </c>
      <c r="H93" s="3" t="s">
        <v>3519</v>
      </c>
      <c r="I93" s="197" t="s">
        <v>138</v>
      </c>
      <c r="J93" s="197" t="s">
        <v>139</v>
      </c>
      <c r="K93" s="1" t="s">
        <v>2816</v>
      </c>
      <c r="L93" s="1" t="s">
        <v>3520</v>
      </c>
      <c r="M93" s="1" t="s">
        <v>436</v>
      </c>
      <c r="N93" s="1" t="s">
        <v>1645</v>
      </c>
      <c r="O93" s="405" t="s">
        <v>281</v>
      </c>
      <c r="P93" s="197" t="s">
        <v>28</v>
      </c>
      <c r="Q93" s="2" t="s">
        <v>4084</v>
      </c>
      <c r="R93" s="2" t="s">
        <v>4085</v>
      </c>
      <c r="S93" s="2" t="s">
        <v>4086</v>
      </c>
      <c r="T93" s="3" t="s">
        <v>600</v>
      </c>
    </row>
    <row r="94" spans="1:20" ht="12.9" customHeight="1" x14ac:dyDescent="0.2">
      <c r="A94" s="9" t="s">
        <v>3521</v>
      </c>
      <c r="B94" s="9"/>
      <c r="C94" s="497" t="s">
        <v>281</v>
      </c>
      <c r="D94" s="198" t="s">
        <v>28</v>
      </c>
      <c r="E94" s="4" t="s">
        <v>408</v>
      </c>
      <c r="F94" s="4" t="s">
        <v>459</v>
      </c>
      <c r="G94" s="4" t="s">
        <v>460</v>
      </c>
      <c r="H94" s="4" t="s">
        <v>602</v>
      </c>
      <c r="I94" s="198" t="s">
        <v>3291</v>
      </c>
      <c r="J94" s="506" t="s">
        <v>3292</v>
      </c>
      <c r="K94" s="9" t="s">
        <v>449</v>
      </c>
      <c r="L94" s="4" t="s">
        <v>2144</v>
      </c>
      <c r="M94" s="4" t="s">
        <v>3705</v>
      </c>
      <c r="N94" s="5" t="s">
        <v>557</v>
      </c>
      <c r="O94" s="198" t="s">
        <v>3107</v>
      </c>
      <c r="P94" s="514" t="s">
        <v>1310</v>
      </c>
      <c r="Q94" s="9" t="s">
        <v>428</v>
      </c>
      <c r="R94" s="4" t="s">
        <v>3831</v>
      </c>
      <c r="S94" s="4" t="s">
        <v>429</v>
      </c>
      <c r="T94" s="5" t="s">
        <v>2474</v>
      </c>
    </row>
    <row r="95" spans="1:20" ht="12.9" customHeight="1" x14ac:dyDescent="0.2">
      <c r="A95" s="2"/>
      <c r="B95" s="2"/>
      <c r="C95" s="280"/>
      <c r="D95" s="280"/>
      <c r="E95" s="2"/>
      <c r="F95" s="2"/>
      <c r="G95" s="2"/>
      <c r="H95" s="2"/>
      <c r="I95" s="280"/>
      <c r="J95" s="280"/>
      <c r="O95" s="280"/>
      <c r="P95" s="280"/>
      <c r="Q95" s="2"/>
      <c r="R95" s="2"/>
      <c r="S95" s="2"/>
      <c r="T95" s="2"/>
    </row>
    <row r="96" spans="1:20" ht="12.9" customHeight="1" x14ac:dyDescent="0.2">
      <c r="A96" s="509" t="s">
        <v>2012</v>
      </c>
      <c r="B96" s="494"/>
      <c r="C96" s="675" t="s">
        <v>3523</v>
      </c>
      <c r="D96" s="676"/>
      <c r="E96" s="676"/>
      <c r="F96" s="676"/>
      <c r="G96" s="676"/>
      <c r="H96" s="677"/>
      <c r="I96" s="675" t="s">
        <v>3524</v>
      </c>
      <c r="J96" s="676"/>
      <c r="K96" s="676"/>
      <c r="L96" s="676"/>
      <c r="M96" s="676"/>
      <c r="N96" s="677"/>
      <c r="O96" s="675" t="s">
        <v>3525</v>
      </c>
      <c r="P96" s="676"/>
      <c r="Q96" s="676"/>
      <c r="R96" s="676"/>
      <c r="S96" s="676"/>
      <c r="T96" s="677"/>
    </row>
    <row r="97" spans="1:28" ht="12.9" customHeight="1" x14ac:dyDescent="0.2">
      <c r="A97" s="510" t="s">
        <v>2263</v>
      </c>
      <c r="B97" s="9"/>
      <c r="C97" s="498"/>
      <c r="D97" s="498"/>
      <c r="E97" s="4" t="s">
        <v>2017</v>
      </c>
      <c r="F97" s="4" t="s">
        <v>2018</v>
      </c>
      <c r="G97" s="4" t="s">
        <v>2019</v>
      </c>
      <c r="H97" s="5" t="s">
        <v>2020</v>
      </c>
      <c r="I97" s="497"/>
      <c r="J97" s="498"/>
      <c r="K97" s="4" t="s">
        <v>2017</v>
      </c>
      <c r="L97" s="4" t="s">
        <v>2018</v>
      </c>
      <c r="M97" s="4" t="s">
        <v>2019</v>
      </c>
      <c r="N97" s="5" t="s">
        <v>2020</v>
      </c>
      <c r="O97" s="497"/>
      <c r="P97" s="498"/>
      <c r="Q97" s="4" t="s">
        <v>2017</v>
      </c>
      <c r="R97" s="4" t="s">
        <v>2018</v>
      </c>
      <c r="S97" s="4" t="s">
        <v>2019</v>
      </c>
      <c r="T97" s="5" t="s">
        <v>2020</v>
      </c>
    </row>
    <row r="98" spans="1:28" ht="12.9" customHeight="1" x14ac:dyDescent="0.2">
      <c r="A98" s="511" t="s">
        <v>707</v>
      </c>
      <c r="B98" s="7"/>
      <c r="C98" s="197" t="s">
        <v>578</v>
      </c>
      <c r="D98" s="197" t="s">
        <v>579</v>
      </c>
      <c r="E98" s="1" t="s">
        <v>585</v>
      </c>
      <c r="F98" s="1" t="s">
        <v>581</v>
      </c>
      <c r="G98" s="1" t="s">
        <v>582</v>
      </c>
      <c r="H98" s="1" t="s">
        <v>586</v>
      </c>
      <c r="I98" s="405" t="s">
        <v>516</v>
      </c>
      <c r="J98" s="197" t="s">
        <v>517</v>
      </c>
      <c r="K98" s="2" t="s">
        <v>4235</v>
      </c>
      <c r="L98" s="2" t="s">
        <v>4236</v>
      </c>
      <c r="M98" s="2" t="s">
        <v>4237</v>
      </c>
      <c r="N98" s="3" t="s">
        <v>4238</v>
      </c>
      <c r="O98" s="499" t="s">
        <v>3382</v>
      </c>
      <c r="P98" s="197" t="s">
        <v>3533</v>
      </c>
      <c r="Q98" s="1" t="s">
        <v>3703</v>
      </c>
      <c r="R98" s="1" t="s">
        <v>4025</v>
      </c>
      <c r="S98" s="1" t="s">
        <v>270</v>
      </c>
      <c r="T98" s="404" t="s">
        <v>3704</v>
      </c>
    </row>
    <row r="99" spans="1:28" ht="12.9" customHeight="1" x14ac:dyDescent="0.2">
      <c r="A99" s="7" t="s">
        <v>2264</v>
      </c>
      <c r="B99" s="7"/>
      <c r="C99" s="405" t="s">
        <v>3383</v>
      </c>
      <c r="D99" s="197" t="s">
        <v>3526</v>
      </c>
      <c r="E99" s="2" t="s">
        <v>3527</v>
      </c>
      <c r="F99" s="2" t="s">
        <v>3528</v>
      </c>
      <c r="G99" s="2" t="s">
        <v>3084</v>
      </c>
      <c r="H99" s="2" t="s">
        <v>3085</v>
      </c>
      <c r="I99" s="405" t="s">
        <v>3529</v>
      </c>
      <c r="J99" s="197" t="s">
        <v>2041</v>
      </c>
      <c r="K99" s="1" t="s">
        <v>3530</v>
      </c>
      <c r="L99" s="1" t="s">
        <v>3531</v>
      </c>
      <c r="M99" s="1" t="s">
        <v>520</v>
      </c>
      <c r="N99" s="1" t="s">
        <v>3532</v>
      </c>
      <c r="O99" s="405" t="s">
        <v>4067</v>
      </c>
      <c r="P99" s="197" t="s">
        <v>3533</v>
      </c>
      <c r="Q99" s="2" t="s">
        <v>4042</v>
      </c>
      <c r="R99" s="2" t="s">
        <v>3385</v>
      </c>
      <c r="S99" s="2" t="s">
        <v>4233</v>
      </c>
      <c r="T99" s="3" t="s">
        <v>3534</v>
      </c>
    </row>
    <row r="100" spans="1:28" ht="12.9" customHeight="1" x14ac:dyDescent="0.2">
      <c r="A100" s="7" t="s">
        <v>2266</v>
      </c>
      <c r="B100" s="7">
        <v>6</v>
      </c>
      <c r="C100" s="405" t="s">
        <v>3529</v>
      </c>
      <c r="D100" s="197" t="s">
        <v>2041</v>
      </c>
      <c r="E100" s="1" t="s">
        <v>3535</v>
      </c>
      <c r="F100" s="1" t="s">
        <v>3536</v>
      </c>
      <c r="G100" s="1" t="s">
        <v>3194</v>
      </c>
      <c r="H100" s="1" t="s">
        <v>3538</v>
      </c>
      <c r="I100" s="197" t="s">
        <v>3539</v>
      </c>
      <c r="J100" s="197" t="s">
        <v>2035</v>
      </c>
      <c r="K100" s="2" t="s">
        <v>3629</v>
      </c>
      <c r="L100" s="2" t="s">
        <v>710</v>
      </c>
      <c r="M100" s="2" t="s">
        <v>712</v>
      </c>
      <c r="N100" s="2" t="s">
        <v>711</v>
      </c>
      <c r="O100" s="405" t="s">
        <v>3540</v>
      </c>
      <c r="P100" s="197" t="s">
        <v>4249</v>
      </c>
      <c r="Q100" s="2" t="s">
        <v>1276</v>
      </c>
      <c r="R100" s="2" t="s">
        <v>1277</v>
      </c>
      <c r="S100" s="2" t="s">
        <v>37</v>
      </c>
      <c r="T100" s="3" t="s">
        <v>1275</v>
      </c>
    </row>
    <row r="101" spans="1:28" ht="12.9" customHeight="1" x14ac:dyDescent="0.2">
      <c r="A101" s="7" t="s">
        <v>2275</v>
      </c>
      <c r="B101" s="7"/>
      <c r="C101" s="512" t="s">
        <v>732</v>
      </c>
      <c r="D101" s="197"/>
      <c r="E101" s="2" t="s">
        <v>3215</v>
      </c>
      <c r="F101" s="2" t="s">
        <v>3215</v>
      </c>
      <c r="G101" s="2" t="s">
        <v>3215</v>
      </c>
      <c r="H101" s="3" t="s">
        <v>3215</v>
      </c>
      <c r="I101" s="405" t="s">
        <v>3215</v>
      </c>
      <c r="J101" s="197" t="s">
        <v>3215</v>
      </c>
      <c r="K101" s="2" t="s">
        <v>3215</v>
      </c>
      <c r="L101" s="2" t="s">
        <v>3215</v>
      </c>
      <c r="M101" s="2" t="s">
        <v>3215</v>
      </c>
      <c r="N101" s="3" t="s">
        <v>3215</v>
      </c>
      <c r="O101" s="405" t="s">
        <v>3215</v>
      </c>
      <c r="P101" s="197" t="s">
        <v>3215</v>
      </c>
      <c r="Q101" s="1" t="s">
        <v>3215</v>
      </c>
      <c r="R101" s="1" t="s">
        <v>3215</v>
      </c>
      <c r="S101" s="1" t="s">
        <v>3215</v>
      </c>
      <c r="T101" s="3" t="s">
        <v>3215</v>
      </c>
      <c r="V101" s="515"/>
      <c r="W101" s="515"/>
      <c r="X101" s="515"/>
      <c r="Y101" s="515"/>
      <c r="Z101" s="515"/>
      <c r="AA101" s="515"/>
      <c r="AB101" s="515"/>
    </row>
    <row r="102" spans="1:28" ht="12.9" customHeight="1" x14ac:dyDescent="0.2">
      <c r="A102" s="7" t="s">
        <v>2276</v>
      </c>
      <c r="B102" s="7">
        <v>26</v>
      </c>
      <c r="C102" s="197" t="s">
        <v>4241</v>
      </c>
      <c r="D102" s="197" t="s">
        <v>2267</v>
      </c>
      <c r="E102" s="1" t="s">
        <v>3541</v>
      </c>
      <c r="F102" s="1" t="s">
        <v>4243</v>
      </c>
      <c r="G102" s="1" t="s">
        <v>2268</v>
      </c>
      <c r="H102" s="1" t="s">
        <v>40</v>
      </c>
      <c r="I102" s="405" t="s">
        <v>4248</v>
      </c>
      <c r="J102" s="197" t="s">
        <v>4249</v>
      </c>
      <c r="K102" s="2" t="s">
        <v>4250</v>
      </c>
      <c r="L102" s="2" t="s">
        <v>4251</v>
      </c>
      <c r="M102" s="2" t="s">
        <v>4252</v>
      </c>
      <c r="N102" s="3" t="s">
        <v>4253</v>
      </c>
      <c r="O102" s="405" t="s">
        <v>516</v>
      </c>
      <c r="P102" s="197" t="s">
        <v>517</v>
      </c>
      <c r="Q102" s="2" t="s">
        <v>4235</v>
      </c>
      <c r="R102" s="2" t="s">
        <v>4236</v>
      </c>
      <c r="S102" s="2" t="s">
        <v>4237</v>
      </c>
      <c r="T102" s="3" t="s">
        <v>4238</v>
      </c>
    </row>
    <row r="103" spans="1:28" ht="12.9" customHeight="1" x14ac:dyDescent="0.2">
      <c r="A103" s="7" t="s">
        <v>2278</v>
      </c>
      <c r="B103" s="7"/>
      <c r="C103" s="405" t="s">
        <v>4248</v>
      </c>
      <c r="D103" s="197" t="s">
        <v>4249</v>
      </c>
      <c r="E103" s="2" t="s">
        <v>3542</v>
      </c>
      <c r="F103" s="2" t="s">
        <v>4251</v>
      </c>
      <c r="G103" s="2" t="s">
        <v>4252</v>
      </c>
      <c r="H103" s="3" t="s">
        <v>3543</v>
      </c>
      <c r="I103" s="405" t="s">
        <v>3529</v>
      </c>
      <c r="J103" s="197" t="s">
        <v>2041</v>
      </c>
      <c r="K103" s="1" t="s">
        <v>3544</v>
      </c>
      <c r="L103" s="1" t="s">
        <v>3413</v>
      </c>
      <c r="M103" s="1" t="s">
        <v>521</v>
      </c>
      <c r="N103" s="1" t="s">
        <v>3414</v>
      </c>
      <c r="O103" s="405" t="s">
        <v>18</v>
      </c>
      <c r="P103" s="245" t="s">
        <v>4249</v>
      </c>
      <c r="Q103" s="1" t="s">
        <v>1518</v>
      </c>
      <c r="R103" s="1" t="s">
        <v>3685</v>
      </c>
      <c r="S103" s="1" t="s">
        <v>1519</v>
      </c>
      <c r="T103" s="3" t="s">
        <v>1520</v>
      </c>
    </row>
    <row r="104" spans="1:28" ht="12.9" customHeight="1" x14ac:dyDescent="0.2">
      <c r="A104" s="7" t="s">
        <v>2791</v>
      </c>
      <c r="B104" s="7"/>
      <c r="C104" s="197" t="s">
        <v>4160</v>
      </c>
      <c r="D104" s="197" t="s">
        <v>1521</v>
      </c>
      <c r="E104" s="1" t="s">
        <v>556</v>
      </c>
      <c r="F104" s="1" t="s">
        <v>4169</v>
      </c>
      <c r="G104" s="1" t="s">
        <v>4233</v>
      </c>
      <c r="H104" s="1" t="s">
        <v>4171</v>
      </c>
      <c r="I104" s="405" t="s">
        <v>1522</v>
      </c>
      <c r="J104" s="197" t="s">
        <v>4249</v>
      </c>
      <c r="K104" s="2" t="s">
        <v>4093</v>
      </c>
      <c r="L104" s="2" t="s">
        <v>4094</v>
      </c>
      <c r="M104" s="2" t="s">
        <v>4095</v>
      </c>
      <c r="N104" s="3" t="s">
        <v>4096</v>
      </c>
      <c r="O104" s="197" t="s">
        <v>4154</v>
      </c>
      <c r="P104" s="197" t="s">
        <v>1523</v>
      </c>
      <c r="Q104" s="1" t="s">
        <v>4156</v>
      </c>
      <c r="R104" s="1" t="s">
        <v>4157</v>
      </c>
      <c r="S104" s="1" t="s">
        <v>4158</v>
      </c>
      <c r="T104" s="3" t="s">
        <v>4159</v>
      </c>
    </row>
    <row r="105" spans="1:28" ht="12.9" customHeight="1" x14ac:dyDescent="0.2">
      <c r="A105" s="7" t="s">
        <v>2249</v>
      </c>
      <c r="B105" s="7"/>
      <c r="C105" s="197" t="s">
        <v>4160</v>
      </c>
      <c r="D105" s="197" t="s">
        <v>1521</v>
      </c>
      <c r="E105" s="1" t="s">
        <v>4234</v>
      </c>
      <c r="F105" s="1" t="s">
        <v>36</v>
      </c>
      <c r="G105" s="1" t="s">
        <v>4170</v>
      </c>
      <c r="H105" s="1" t="s">
        <v>1524</v>
      </c>
      <c r="I105" s="405" t="s">
        <v>4035</v>
      </c>
      <c r="J105" s="197" t="s">
        <v>4230</v>
      </c>
      <c r="K105" s="1" t="s">
        <v>4036</v>
      </c>
      <c r="L105" s="1" t="s">
        <v>4037</v>
      </c>
      <c r="M105" s="1" t="s">
        <v>4038</v>
      </c>
      <c r="N105" s="2" t="s">
        <v>4039</v>
      </c>
      <c r="O105" s="405" t="s">
        <v>4040</v>
      </c>
      <c r="P105" s="197" t="s">
        <v>4041</v>
      </c>
      <c r="Q105" s="1" t="s">
        <v>4043</v>
      </c>
      <c r="R105" s="1" t="s">
        <v>371</v>
      </c>
      <c r="S105" s="1" t="s">
        <v>791</v>
      </c>
      <c r="T105" s="3" t="s">
        <v>4045</v>
      </c>
    </row>
    <row r="106" spans="1:28" ht="12.9" customHeight="1" x14ac:dyDescent="0.2">
      <c r="A106" s="7" t="s">
        <v>660</v>
      </c>
      <c r="B106" s="7"/>
      <c r="C106" s="405" t="s">
        <v>4040</v>
      </c>
      <c r="D106" s="197" t="s">
        <v>4041</v>
      </c>
      <c r="E106" s="1" t="s">
        <v>4231</v>
      </c>
      <c r="F106" s="1" t="s">
        <v>1525</v>
      </c>
      <c r="G106" s="1" t="s">
        <v>4048</v>
      </c>
      <c r="H106" s="1" t="s">
        <v>1526</v>
      </c>
      <c r="I106" s="405" t="s">
        <v>4035</v>
      </c>
      <c r="J106" s="197" t="s">
        <v>4230</v>
      </c>
      <c r="K106" s="1" t="s">
        <v>3293</v>
      </c>
      <c r="L106" s="1" t="s">
        <v>4082</v>
      </c>
      <c r="M106" s="1" t="s">
        <v>3295</v>
      </c>
      <c r="N106" s="2" t="s">
        <v>3294</v>
      </c>
      <c r="O106" s="405" t="s">
        <v>1527</v>
      </c>
      <c r="P106" s="197" t="s">
        <v>1528</v>
      </c>
      <c r="Q106" s="2" t="s">
        <v>1529</v>
      </c>
      <c r="R106" s="2" t="s">
        <v>2456</v>
      </c>
      <c r="S106" s="2" t="s">
        <v>3543</v>
      </c>
      <c r="T106" s="3" t="s">
        <v>2457</v>
      </c>
    </row>
    <row r="107" spans="1:28" ht="12.9" customHeight="1" x14ac:dyDescent="0.2">
      <c r="A107" s="7" t="s">
        <v>2799</v>
      </c>
      <c r="B107" s="7"/>
      <c r="C107" s="405" t="s">
        <v>4040</v>
      </c>
      <c r="D107" s="197" t="s">
        <v>4041</v>
      </c>
      <c r="E107" s="1" t="s">
        <v>4047</v>
      </c>
      <c r="F107" s="1" t="s">
        <v>2458</v>
      </c>
      <c r="G107" s="1" t="s">
        <v>3241</v>
      </c>
      <c r="H107" s="1" t="s">
        <v>2459</v>
      </c>
      <c r="I107" s="405" t="s">
        <v>1527</v>
      </c>
      <c r="J107" s="197" t="s">
        <v>1528</v>
      </c>
      <c r="K107" s="2" t="s">
        <v>1529</v>
      </c>
      <c r="L107" s="2" t="s">
        <v>2456</v>
      </c>
      <c r="M107" s="2" t="s">
        <v>4166</v>
      </c>
      <c r="N107" s="3" t="s">
        <v>2457</v>
      </c>
      <c r="O107" s="197" t="s">
        <v>2460</v>
      </c>
      <c r="P107" s="197" t="s">
        <v>4230</v>
      </c>
      <c r="Q107" s="1" t="s">
        <v>2461</v>
      </c>
      <c r="R107" s="1" t="s">
        <v>446</v>
      </c>
      <c r="S107" s="1" t="s">
        <v>2462</v>
      </c>
      <c r="T107" s="3" t="s">
        <v>2463</v>
      </c>
    </row>
    <row r="108" spans="1:28" ht="12.9" customHeight="1" x14ac:dyDescent="0.2">
      <c r="A108" s="7" t="s">
        <v>2807</v>
      </c>
      <c r="B108" s="7"/>
      <c r="C108" s="197" t="s">
        <v>2800</v>
      </c>
      <c r="D108" s="504" t="s">
        <v>2801</v>
      </c>
      <c r="E108" s="1" t="s">
        <v>4051</v>
      </c>
      <c r="F108" s="1" t="s">
        <v>4052</v>
      </c>
      <c r="G108" s="1" t="s">
        <v>2802</v>
      </c>
      <c r="H108" s="1" t="s">
        <v>45</v>
      </c>
      <c r="I108" s="197" t="s">
        <v>2464</v>
      </c>
      <c r="J108" s="504" t="s">
        <v>4249</v>
      </c>
      <c r="K108" s="1" t="s">
        <v>2465</v>
      </c>
      <c r="L108" s="1" t="s">
        <v>4072</v>
      </c>
      <c r="M108" s="1" t="s">
        <v>1519</v>
      </c>
      <c r="N108" s="1" t="s">
        <v>1520</v>
      </c>
      <c r="O108" s="197" t="s">
        <v>4055</v>
      </c>
      <c r="P108" s="197" t="s">
        <v>4041</v>
      </c>
      <c r="Q108" s="1" t="s">
        <v>4056</v>
      </c>
      <c r="R108" s="1" t="s">
        <v>4057</v>
      </c>
      <c r="S108" s="1" t="s">
        <v>4058</v>
      </c>
      <c r="T108" s="3" t="s">
        <v>2466</v>
      </c>
    </row>
    <row r="109" spans="1:28" ht="12.9" customHeight="1" x14ac:dyDescent="0.2">
      <c r="A109" s="7" t="s">
        <v>2811</v>
      </c>
      <c r="B109" s="7"/>
      <c r="C109" s="197" t="s">
        <v>33</v>
      </c>
      <c r="D109" s="197" t="s">
        <v>34</v>
      </c>
      <c r="E109" s="1" t="s">
        <v>4257</v>
      </c>
      <c r="F109" s="1" t="s">
        <v>4099</v>
      </c>
      <c r="G109" s="1" t="s">
        <v>4037</v>
      </c>
      <c r="H109" s="1" t="s">
        <v>4095</v>
      </c>
      <c r="I109" s="197" t="s">
        <v>2467</v>
      </c>
      <c r="J109" s="504" t="s">
        <v>2468</v>
      </c>
      <c r="K109" s="1" t="s">
        <v>2469</v>
      </c>
      <c r="L109" s="1" t="s">
        <v>2470</v>
      </c>
      <c r="M109" s="1" t="s">
        <v>2471</v>
      </c>
      <c r="N109" s="1" t="s">
        <v>2472</v>
      </c>
      <c r="O109" s="197" t="s">
        <v>2473</v>
      </c>
      <c r="P109" s="504" t="s">
        <v>550</v>
      </c>
      <c r="Q109" s="1" t="s">
        <v>3522</v>
      </c>
      <c r="R109" s="1" t="s">
        <v>2474</v>
      </c>
      <c r="S109" s="1" t="s">
        <v>4076</v>
      </c>
      <c r="T109" s="3" t="s">
        <v>1312</v>
      </c>
    </row>
    <row r="110" spans="1:28" ht="12.9" customHeight="1" x14ac:dyDescent="0.2">
      <c r="A110" s="7" t="s">
        <v>2814</v>
      </c>
      <c r="B110" s="7"/>
      <c r="C110" s="197" t="s">
        <v>4069</v>
      </c>
      <c r="D110" s="197" t="s">
        <v>2475</v>
      </c>
      <c r="E110" s="1" t="s">
        <v>4063</v>
      </c>
      <c r="F110" s="1" t="s">
        <v>4094</v>
      </c>
      <c r="G110" s="1" t="s">
        <v>279</v>
      </c>
      <c r="H110" s="1" t="s">
        <v>280</v>
      </c>
      <c r="I110" s="197" t="s">
        <v>2473</v>
      </c>
      <c r="J110" s="504" t="s">
        <v>550</v>
      </c>
      <c r="K110" s="1" t="s">
        <v>551</v>
      </c>
      <c r="L110" s="1" t="s">
        <v>2474</v>
      </c>
      <c r="M110" s="1" t="s">
        <v>2476</v>
      </c>
      <c r="N110" s="1" t="s">
        <v>4077</v>
      </c>
      <c r="O110" s="197" t="s">
        <v>4100</v>
      </c>
      <c r="P110" s="197" t="s">
        <v>130</v>
      </c>
      <c r="Q110" s="1" t="s">
        <v>2477</v>
      </c>
      <c r="R110" s="1" t="s">
        <v>136</v>
      </c>
      <c r="S110" s="1" t="s">
        <v>137</v>
      </c>
      <c r="T110" s="3" t="s">
        <v>134</v>
      </c>
    </row>
    <row r="111" spans="1:28" ht="12.9" customHeight="1" x14ac:dyDescent="0.2">
      <c r="A111" s="7" t="s">
        <v>2815</v>
      </c>
      <c r="B111" s="7"/>
      <c r="C111" s="405" t="s">
        <v>4078</v>
      </c>
      <c r="D111" s="197" t="s">
        <v>4079</v>
      </c>
      <c r="E111" s="1" t="s">
        <v>2478</v>
      </c>
      <c r="F111" s="1" t="s">
        <v>3709</v>
      </c>
      <c r="G111" s="1" t="s">
        <v>4082</v>
      </c>
      <c r="H111" s="1" t="s">
        <v>2479</v>
      </c>
      <c r="I111" s="197" t="s">
        <v>4074</v>
      </c>
      <c r="J111" s="197" t="s">
        <v>4075</v>
      </c>
      <c r="K111" s="1" t="s">
        <v>4245</v>
      </c>
      <c r="L111" s="1" t="s">
        <v>2480</v>
      </c>
      <c r="M111" s="1" t="s">
        <v>2481</v>
      </c>
      <c r="N111" s="1" t="s">
        <v>2482</v>
      </c>
      <c r="O111" s="197" t="s">
        <v>4100</v>
      </c>
      <c r="P111" s="197" t="s">
        <v>130</v>
      </c>
      <c r="Q111" s="1" t="s">
        <v>2483</v>
      </c>
      <c r="R111" s="1" t="s">
        <v>172</v>
      </c>
      <c r="S111" s="1" t="s">
        <v>158</v>
      </c>
      <c r="T111" s="3" t="s">
        <v>1640</v>
      </c>
    </row>
    <row r="112" spans="1:28" ht="12.9" customHeight="1" x14ac:dyDescent="0.2">
      <c r="A112" s="7" t="s">
        <v>2819</v>
      </c>
      <c r="B112" s="7"/>
      <c r="C112" s="405" t="s">
        <v>4078</v>
      </c>
      <c r="D112" s="197" t="s">
        <v>4079</v>
      </c>
      <c r="E112" s="1" t="s">
        <v>247</v>
      </c>
      <c r="F112" s="1" t="s">
        <v>3502</v>
      </c>
      <c r="G112" s="1" t="s">
        <v>248</v>
      </c>
      <c r="H112" s="1" t="s">
        <v>251</v>
      </c>
      <c r="I112" s="197" t="s">
        <v>4100</v>
      </c>
      <c r="J112" s="197" t="s">
        <v>130</v>
      </c>
      <c r="K112" s="1" t="s">
        <v>131</v>
      </c>
      <c r="L112" s="1" t="s">
        <v>132</v>
      </c>
      <c r="M112" s="1" t="s">
        <v>137</v>
      </c>
      <c r="N112" s="1" t="s">
        <v>252</v>
      </c>
      <c r="O112" s="197" t="s">
        <v>253</v>
      </c>
      <c r="P112" s="197" t="s">
        <v>4230</v>
      </c>
      <c r="Q112" s="2" t="s">
        <v>254</v>
      </c>
      <c r="R112" s="1" t="s">
        <v>166</v>
      </c>
      <c r="S112" s="1" t="s">
        <v>255</v>
      </c>
      <c r="T112" s="3" t="s">
        <v>256</v>
      </c>
    </row>
    <row r="113" spans="1:20" ht="12.9" customHeight="1" x14ac:dyDescent="0.2">
      <c r="A113" s="7" t="s">
        <v>2825</v>
      </c>
      <c r="B113" s="7"/>
      <c r="C113" s="197" t="s">
        <v>4100</v>
      </c>
      <c r="D113" s="197" t="s">
        <v>130</v>
      </c>
      <c r="E113" s="1" t="s">
        <v>131</v>
      </c>
      <c r="F113" s="1" t="s">
        <v>132</v>
      </c>
      <c r="G113" s="1" t="s">
        <v>133</v>
      </c>
      <c r="H113" s="1" t="s">
        <v>252</v>
      </c>
      <c r="I113" s="405" t="s">
        <v>1623</v>
      </c>
      <c r="J113" s="197" t="s">
        <v>1624</v>
      </c>
      <c r="K113" s="2" t="s">
        <v>439</v>
      </c>
      <c r="L113" s="2" t="s">
        <v>1626</v>
      </c>
      <c r="M113" s="2" t="s">
        <v>1627</v>
      </c>
      <c r="N113" s="3" t="s">
        <v>1628</v>
      </c>
      <c r="O113" s="197" t="s">
        <v>257</v>
      </c>
      <c r="P113" s="197" t="s">
        <v>4079</v>
      </c>
      <c r="Q113" s="1" t="s">
        <v>258</v>
      </c>
      <c r="R113" s="1" t="s">
        <v>259</v>
      </c>
      <c r="S113" s="1" t="s">
        <v>260</v>
      </c>
      <c r="T113" s="3" t="s">
        <v>261</v>
      </c>
    </row>
    <row r="114" spans="1:20" ht="12.9" customHeight="1" x14ac:dyDescent="0.2">
      <c r="A114" s="7" t="s">
        <v>3516</v>
      </c>
      <c r="B114" s="7"/>
      <c r="C114" s="197" t="s">
        <v>147</v>
      </c>
      <c r="D114" s="197" t="s">
        <v>148</v>
      </c>
      <c r="E114" s="2" t="s">
        <v>149</v>
      </c>
      <c r="F114" s="2" t="s">
        <v>150</v>
      </c>
      <c r="G114" s="2" t="s">
        <v>151</v>
      </c>
      <c r="H114" s="2" t="s">
        <v>162</v>
      </c>
      <c r="I114" s="197" t="s">
        <v>262</v>
      </c>
      <c r="J114" s="197" t="s">
        <v>263</v>
      </c>
      <c r="K114" s="2" t="s">
        <v>264</v>
      </c>
      <c r="L114" s="2" t="s">
        <v>4260</v>
      </c>
      <c r="M114" s="2" t="s">
        <v>2466</v>
      </c>
      <c r="N114" s="2" t="s">
        <v>265</v>
      </c>
      <c r="O114" s="197" t="s">
        <v>163</v>
      </c>
      <c r="P114" s="197" t="s">
        <v>164</v>
      </c>
      <c r="Q114" s="1" t="s">
        <v>1549</v>
      </c>
      <c r="R114" s="1" t="s">
        <v>166</v>
      </c>
      <c r="S114" s="1" t="s">
        <v>4170</v>
      </c>
      <c r="T114" s="3" t="s">
        <v>266</v>
      </c>
    </row>
    <row r="115" spans="1:20" ht="12.9" customHeight="1" x14ac:dyDescent="0.2">
      <c r="A115" s="9" t="s">
        <v>3521</v>
      </c>
      <c r="B115" s="9"/>
      <c r="C115" s="497" t="s">
        <v>147</v>
      </c>
      <c r="D115" s="198" t="s">
        <v>148</v>
      </c>
      <c r="E115" s="4" t="s">
        <v>159</v>
      </c>
      <c r="F115" s="4" t="s">
        <v>160</v>
      </c>
      <c r="G115" s="4" t="s">
        <v>161</v>
      </c>
      <c r="H115" s="4" t="s">
        <v>267</v>
      </c>
      <c r="I115" s="198" t="s">
        <v>156</v>
      </c>
      <c r="J115" s="198" t="s">
        <v>157</v>
      </c>
      <c r="K115" s="4" t="s">
        <v>455</v>
      </c>
      <c r="L115" s="4" t="s">
        <v>268</v>
      </c>
      <c r="M115" s="4" t="s">
        <v>158</v>
      </c>
      <c r="N115" s="4" t="s">
        <v>280</v>
      </c>
      <c r="O115" s="497" t="s">
        <v>269</v>
      </c>
      <c r="P115" s="198" t="s">
        <v>4079</v>
      </c>
      <c r="Q115" s="4" t="s">
        <v>254</v>
      </c>
      <c r="R115" s="4" t="s">
        <v>4081</v>
      </c>
      <c r="S115" s="4" t="s">
        <v>270</v>
      </c>
      <c r="T115" s="5" t="s">
        <v>4080</v>
      </c>
    </row>
    <row r="116" spans="1:20" ht="12.9" customHeight="1" x14ac:dyDescent="0.2">
      <c r="A116" s="2"/>
      <c r="B116" s="2"/>
      <c r="C116" s="280"/>
      <c r="D116" s="280"/>
      <c r="E116" s="2"/>
      <c r="F116" s="2"/>
      <c r="G116" s="2"/>
      <c r="H116" s="2"/>
      <c r="I116" s="280"/>
      <c r="J116" s="280"/>
      <c r="K116" s="2"/>
      <c r="L116" s="2"/>
      <c r="M116" s="2"/>
      <c r="N116" s="2"/>
      <c r="O116" s="280"/>
      <c r="P116" s="280"/>
      <c r="Q116" s="2"/>
      <c r="R116" s="2"/>
      <c r="S116" s="2"/>
      <c r="T116" s="2"/>
    </row>
    <row r="117" spans="1:20" ht="15.6" x14ac:dyDescent="0.3">
      <c r="A117" s="671" t="s">
        <v>1284</v>
      </c>
      <c r="B117" s="671"/>
      <c r="C117" s="671"/>
      <c r="D117" s="671"/>
      <c r="E117" s="671"/>
      <c r="F117" s="671"/>
      <c r="G117" s="671"/>
      <c r="H117" s="671"/>
      <c r="I117" s="671"/>
      <c r="J117" s="671"/>
      <c r="K117" s="671"/>
      <c r="L117" s="671"/>
      <c r="M117" s="671"/>
      <c r="N117" s="671"/>
      <c r="O117" s="671"/>
      <c r="P117" s="671"/>
      <c r="Q117" s="671"/>
      <c r="R117" s="671"/>
      <c r="S117" s="671"/>
      <c r="T117" s="671"/>
    </row>
    <row r="118" spans="1:20" ht="12.9" customHeight="1" x14ac:dyDescent="0.2">
      <c r="A118" s="519" t="s">
        <v>2012</v>
      </c>
      <c r="B118" s="520"/>
      <c r="C118" s="668" t="s">
        <v>271</v>
      </c>
      <c r="D118" s="669"/>
      <c r="E118" s="669"/>
      <c r="F118" s="669"/>
      <c r="G118" s="669"/>
      <c r="H118" s="670"/>
      <c r="I118" s="668" t="s">
        <v>272</v>
      </c>
      <c r="J118" s="669"/>
      <c r="K118" s="669"/>
      <c r="L118" s="669"/>
      <c r="M118" s="669"/>
      <c r="N118" s="670"/>
      <c r="O118" s="668" t="s">
        <v>273</v>
      </c>
      <c r="P118" s="669"/>
      <c r="Q118" s="669"/>
      <c r="R118" s="669"/>
      <c r="S118" s="669"/>
      <c r="T118" s="670"/>
    </row>
    <row r="119" spans="1:20" ht="12.9" customHeight="1" x14ac:dyDescent="0.2">
      <c r="A119" s="496"/>
      <c r="B119" s="9"/>
      <c r="C119" s="521" t="s">
        <v>1855</v>
      </c>
      <c r="D119" s="498"/>
      <c r="E119" s="4" t="s">
        <v>2017</v>
      </c>
      <c r="F119" s="4" t="s">
        <v>2018</v>
      </c>
      <c r="G119" s="4" t="s">
        <v>2019</v>
      </c>
      <c r="H119" s="5" t="s">
        <v>2020</v>
      </c>
      <c r="I119" s="497"/>
      <c r="J119" s="498"/>
      <c r="K119" s="4" t="s">
        <v>2017</v>
      </c>
      <c r="L119" s="4" t="s">
        <v>2018</v>
      </c>
      <c r="M119" s="4" t="s">
        <v>2019</v>
      </c>
      <c r="N119" s="5" t="s">
        <v>2020</v>
      </c>
      <c r="O119" s="497"/>
      <c r="P119" s="498"/>
      <c r="Q119" s="4" t="s">
        <v>2017</v>
      </c>
      <c r="R119" s="4" t="s">
        <v>2018</v>
      </c>
      <c r="S119" s="4" t="s">
        <v>2019</v>
      </c>
      <c r="T119" s="5" t="s">
        <v>2020</v>
      </c>
    </row>
    <row r="120" spans="1:20" ht="12.9" customHeight="1" x14ac:dyDescent="0.2">
      <c r="A120" s="505" t="s">
        <v>3596</v>
      </c>
      <c r="B120" s="3">
        <v>3</v>
      </c>
      <c r="C120" s="197" t="s">
        <v>3598</v>
      </c>
      <c r="D120" s="197" t="s">
        <v>3077</v>
      </c>
      <c r="E120" s="7" t="s">
        <v>3350</v>
      </c>
      <c r="F120" s="2" t="s">
        <v>3351</v>
      </c>
      <c r="G120" s="2" t="s">
        <v>3078</v>
      </c>
      <c r="H120" s="3" t="s">
        <v>3079</v>
      </c>
      <c r="I120" s="522" t="s">
        <v>3338</v>
      </c>
      <c r="J120" s="245" t="s">
        <v>3090</v>
      </c>
      <c r="K120" s="2" t="s">
        <v>3091</v>
      </c>
      <c r="L120" s="2" t="s">
        <v>3078</v>
      </c>
      <c r="M120" s="2" t="s">
        <v>3092</v>
      </c>
      <c r="N120" s="2" t="s">
        <v>3093</v>
      </c>
      <c r="O120" s="197" t="s">
        <v>1285</v>
      </c>
      <c r="P120" s="197" t="s">
        <v>3033</v>
      </c>
      <c r="Q120" s="2" t="s">
        <v>3091</v>
      </c>
      <c r="R120" s="27" t="s">
        <v>1369</v>
      </c>
      <c r="S120" s="27" t="s">
        <v>1370</v>
      </c>
      <c r="T120" s="28" t="s">
        <v>3271</v>
      </c>
    </row>
    <row r="121" spans="1:20" s="507" customFormat="1" ht="12.9" customHeight="1" x14ac:dyDescent="0.2">
      <c r="A121" s="505" t="s">
        <v>3504</v>
      </c>
      <c r="B121" s="3">
        <v>2</v>
      </c>
      <c r="C121" s="197" t="s">
        <v>3598</v>
      </c>
      <c r="D121" s="197" t="s">
        <v>3077</v>
      </c>
      <c r="E121" s="7" t="s">
        <v>3350</v>
      </c>
      <c r="F121" s="2" t="s">
        <v>3351</v>
      </c>
      <c r="G121" s="2" t="s">
        <v>3078</v>
      </c>
      <c r="H121" s="3" t="s">
        <v>3079</v>
      </c>
      <c r="I121" s="522" t="s">
        <v>3338</v>
      </c>
      <c r="J121" s="245" t="s">
        <v>3090</v>
      </c>
      <c r="K121" s="2" t="s">
        <v>3091</v>
      </c>
      <c r="L121" s="2" t="s">
        <v>3078</v>
      </c>
      <c r="M121" s="2" t="s">
        <v>3092</v>
      </c>
      <c r="N121" s="2" t="s">
        <v>3093</v>
      </c>
      <c r="O121" s="197" t="s">
        <v>3215</v>
      </c>
      <c r="P121" s="504" t="s">
        <v>3215</v>
      </c>
      <c r="Q121" s="2" t="s">
        <v>3215</v>
      </c>
      <c r="R121" s="2" t="s">
        <v>3215</v>
      </c>
      <c r="S121" s="2" t="s">
        <v>3215</v>
      </c>
      <c r="T121" s="3" t="s">
        <v>3215</v>
      </c>
    </row>
    <row r="122" spans="1:20" s="507" customFormat="1" ht="12.9" customHeight="1" x14ac:dyDescent="0.2">
      <c r="A122" s="505" t="s">
        <v>1789</v>
      </c>
      <c r="B122" s="3">
        <v>3</v>
      </c>
      <c r="C122" s="197" t="s">
        <v>3598</v>
      </c>
      <c r="D122" s="197" t="s">
        <v>3077</v>
      </c>
      <c r="E122" s="7" t="s">
        <v>3350</v>
      </c>
      <c r="F122" s="2" t="s">
        <v>3351</v>
      </c>
      <c r="G122" s="2" t="s">
        <v>3078</v>
      </c>
      <c r="H122" s="3" t="s">
        <v>3079</v>
      </c>
      <c r="I122" s="504" t="s">
        <v>1792</v>
      </c>
      <c r="J122" s="504" t="s">
        <v>1286</v>
      </c>
      <c r="K122" s="2" t="s">
        <v>2409</v>
      </c>
      <c r="L122" s="2" t="s">
        <v>2410</v>
      </c>
      <c r="M122" s="2" t="s">
        <v>2412</v>
      </c>
      <c r="N122" s="3" t="s">
        <v>2411</v>
      </c>
      <c r="O122" s="504" t="s">
        <v>724</v>
      </c>
      <c r="P122" s="504" t="s">
        <v>1292</v>
      </c>
      <c r="Q122" s="2" t="s">
        <v>1293</v>
      </c>
      <c r="R122" s="2" t="s">
        <v>1294</v>
      </c>
      <c r="S122" s="2" t="s">
        <v>1295</v>
      </c>
      <c r="T122" s="3" t="s">
        <v>1296</v>
      </c>
    </row>
    <row r="123" spans="1:20" s="507" customFormat="1" ht="12.9" customHeight="1" x14ac:dyDescent="0.2">
      <c r="A123" s="505" t="s">
        <v>1331</v>
      </c>
      <c r="B123" s="3">
        <v>2</v>
      </c>
      <c r="C123" s="504" t="s">
        <v>1792</v>
      </c>
      <c r="D123" s="504" t="s">
        <v>1286</v>
      </c>
      <c r="E123" s="2" t="s">
        <v>2409</v>
      </c>
      <c r="F123" s="2" t="s">
        <v>2410</v>
      </c>
      <c r="G123" s="2" t="s">
        <v>2412</v>
      </c>
      <c r="H123" s="3" t="s">
        <v>2411</v>
      </c>
      <c r="I123" s="504" t="s">
        <v>1287</v>
      </c>
      <c r="J123" s="504" t="s">
        <v>4041</v>
      </c>
      <c r="K123" s="2" t="s">
        <v>1288</v>
      </c>
      <c r="L123" s="2" t="s">
        <v>1289</v>
      </c>
      <c r="M123" s="2" t="s">
        <v>1290</v>
      </c>
      <c r="N123" s="3" t="s">
        <v>1291</v>
      </c>
      <c r="O123" s="504" t="s">
        <v>3215</v>
      </c>
      <c r="P123" s="504" t="s">
        <v>3215</v>
      </c>
      <c r="Q123" s="2" t="s">
        <v>3215</v>
      </c>
      <c r="R123" s="2" t="s">
        <v>3215</v>
      </c>
      <c r="S123" s="2" t="s">
        <v>3215</v>
      </c>
      <c r="T123" s="3" t="s">
        <v>3215</v>
      </c>
    </row>
    <row r="124" spans="1:20" s="507" customFormat="1" ht="12.9" customHeight="1" x14ac:dyDescent="0.2">
      <c r="A124" s="505" t="s">
        <v>3994</v>
      </c>
      <c r="B124" s="3">
        <v>6</v>
      </c>
      <c r="C124" s="504" t="s">
        <v>1792</v>
      </c>
      <c r="D124" s="504" t="s">
        <v>1286</v>
      </c>
      <c r="E124" s="2" t="s">
        <v>2409</v>
      </c>
      <c r="F124" s="2" t="s">
        <v>2410</v>
      </c>
      <c r="G124" s="2" t="s">
        <v>2412</v>
      </c>
      <c r="H124" s="3" t="s">
        <v>2411</v>
      </c>
      <c r="I124" s="504" t="s">
        <v>3996</v>
      </c>
      <c r="J124" s="504" t="s">
        <v>4041</v>
      </c>
      <c r="K124" s="2" t="s">
        <v>833</v>
      </c>
      <c r="L124" s="2" t="s">
        <v>834</v>
      </c>
      <c r="M124" s="2" t="s">
        <v>835</v>
      </c>
      <c r="N124" s="3" t="s">
        <v>836</v>
      </c>
      <c r="O124" s="504" t="s">
        <v>3997</v>
      </c>
      <c r="P124" s="504" t="s">
        <v>517</v>
      </c>
      <c r="Q124" s="2" t="s">
        <v>838</v>
      </c>
      <c r="R124" s="2" t="s">
        <v>2765</v>
      </c>
      <c r="S124" s="2" t="s">
        <v>1245</v>
      </c>
      <c r="T124" s="3" t="s">
        <v>839</v>
      </c>
    </row>
    <row r="125" spans="1:20" s="507" customFormat="1" ht="12.9" customHeight="1" x14ac:dyDescent="0.2">
      <c r="A125" s="505" t="s">
        <v>2340</v>
      </c>
      <c r="B125" s="3">
        <v>6</v>
      </c>
      <c r="C125" s="197" t="s">
        <v>4017</v>
      </c>
      <c r="D125" s="197" t="s">
        <v>2213</v>
      </c>
      <c r="E125" s="2" t="s">
        <v>1243</v>
      </c>
      <c r="F125" s="2" t="s">
        <v>1244</v>
      </c>
      <c r="G125" s="2" t="s">
        <v>1245</v>
      </c>
      <c r="H125" s="2" t="s">
        <v>1246</v>
      </c>
      <c r="I125" s="197" t="s">
        <v>2699</v>
      </c>
      <c r="J125" s="261" t="s">
        <v>2994</v>
      </c>
      <c r="K125" s="27" t="s">
        <v>2700</v>
      </c>
      <c r="L125" s="27" t="s">
        <v>2701</v>
      </c>
      <c r="M125" s="27" t="s">
        <v>2702</v>
      </c>
      <c r="N125" s="28" t="s">
        <v>2703</v>
      </c>
      <c r="O125" s="197" t="s">
        <v>52</v>
      </c>
      <c r="P125" s="197" t="s">
        <v>730</v>
      </c>
      <c r="Q125" s="2" t="s">
        <v>2835</v>
      </c>
      <c r="R125" s="2" t="s">
        <v>2836</v>
      </c>
      <c r="S125" s="2" t="s">
        <v>417</v>
      </c>
      <c r="T125" s="3" t="s">
        <v>418</v>
      </c>
    </row>
    <row r="126" spans="1:20" s="507" customFormat="1" ht="12.9" customHeight="1" x14ac:dyDescent="0.2">
      <c r="A126" s="505" t="s">
        <v>2284</v>
      </c>
      <c r="B126" s="3">
        <v>3</v>
      </c>
      <c r="C126" s="197" t="s">
        <v>4017</v>
      </c>
      <c r="D126" s="197" t="s">
        <v>2213</v>
      </c>
      <c r="E126" s="2" t="s">
        <v>1243</v>
      </c>
      <c r="F126" s="2" t="s">
        <v>1244</v>
      </c>
      <c r="G126" s="2" t="s">
        <v>1245</v>
      </c>
      <c r="H126" s="2" t="s">
        <v>1246</v>
      </c>
      <c r="I126" s="197" t="s">
        <v>2699</v>
      </c>
      <c r="J126" s="261" t="s">
        <v>2994</v>
      </c>
      <c r="K126" s="27" t="s">
        <v>2700</v>
      </c>
      <c r="L126" s="27" t="s">
        <v>2701</v>
      </c>
      <c r="M126" s="27" t="s">
        <v>2702</v>
      </c>
      <c r="N126" s="28" t="s">
        <v>2703</v>
      </c>
      <c r="O126" s="197" t="s">
        <v>598</v>
      </c>
      <c r="P126" s="197" t="s">
        <v>593</v>
      </c>
      <c r="Q126" s="2" t="s">
        <v>900</v>
      </c>
      <c r="R126" s="2" t="s">
        <v>901</v>
      </c>
      <c r="S126" s="2" t="s">
        <v>902</v>
      </c>
      <c r="T126" s="3" t="s">
        <v>903</v>
      </c>
    </row>
    <row r="127" spans="1:20" s="507" customFormat="1" ht="12.9" customHeight="1" x14ac:dyDescent="0.2">
      <c r="A127" s="505" t="s">
        <v>907</v>
      </c>
      <c r="B127" s="3">
        <v>7</v>
      </c>
      <c r="C127" s="197" t="s">
        <v>915</v>
      </c>
      <c r="D127" s="197" t="s">
        <v>593</v>
      </c>
      <c r="E127" s="2" t="s">
        <v>940</v>
      </c>
      <c r="F127" s="2" t="s">
        <v>941</v>
      </c>
      <c r="G127" s="2" t="s">
        <v>942</v>
      </c>
      <c r="H127" s="2" t="s">
        <v>943</v>
      </c>
      <c r="I127" s="197" t="s">
        <v>916</v>
      </c>
      <c r="J127" s="261" t="s">
        <v>4041</v>
      </c>
      <c r="K127" s="27" t="s">
        <v>917</v>
      </c>
      <c r="L127" s="27" t="s">
        <v>1291</v>
      </c>
      <c r="M127" s="27" t="s">
        <v>918</v>
      </c>
      <c r="N127" s="28" t="s">
        <v>81</v>
      </c>
      <c r="O127" s="197" t="s">
        <v>598</v>
      </c>
      <c r="P127" s="197" t="s">
        <v>593</v>
      </c>
      <c r="Q127" s="2" t="s">
        <v>900</v>
      </c>
      <c r="R127" s="2" t="s">
        <v>901</v>
      </c>
      <c r="S127" s="2" t="s">
        <v>902</v>
      </c>
      <c r="T127" s="3" t="s">
        <v>903</v>
      </c>
    </row>
    <row r="128" spans="1:20" s="507" customFormat="1" ht="12.9" customHeight="1" x14ac:dyDescent="0.2">
      <c r="A128" s="505" t="s">
        <v>1081</v>
      </c>
      <c r="B128" s="3">
        <v>6</v>
      </c>
      <c r="C128" s="197" t="s">
        <v>1142</v>
      </c>
      <c r="D128" s="197" t="s">
        <v>517</v>
      </c>
      <c r="E128" s="2" t="s">
        <v>921</v>
      </c>
      <c r="F128" s="2" t="s">
        <v>1244</v>
      </c>
      <c r="G128" s="2" t="s">
        <v>1245</v>
      </c>
      <c r="H128" s="2" t="s">
        <v>3984</v>
      </c>
      <c r="I128" s="197" t="s">
        <v>1143</v>
      </c>
      <c r="J128" s="261" t="s">
        <v>593</v>
      </c>
      <c r="K128" s="27" t="s">
        <v>1144</v>
      </c>
      <c r="L128" s="27" t="s">
        <v>1145</v>
      </c>
      <c r="M128" s="27" t="s">
        <v>1146</v>
      </c>
      <c r="N128" s="28" t="s">
        <v>1147</v>
      </c>
      <c r="O128" s="197" t="s">
        <v>1086</v>
      </c>
      <c r="P128" s="197" t="s">
        <v>593</v>
      </c>
      <c r="Q128" s="2" t="s">
        <v>940</v>
      </c>
      <c r="R128" s="2" t="s">
        <v>941</v>
      </c>
      <c r="S128" s="2" t="s">
        <v>1087</v>
      </c>
      <c r="T128" s="3" t="s">
        <v>1088</v>
      </c>
    </row>
    <row r="129" spans="1:21" s="507" customFormat="1" ht="12.9" customHeight="1" x14ac:dyDescent="0.2">
      <c r="A129" s="505" t="str">
        <f>+A185</f>
        <v>2016 P</v>
      </c>
      <c r="B129" s="3">
        <v>7</v>
      </c>
      <c r="C129" s="197" t="s">
        <v>1092</v>
      </c>
      <c r="D129" s="197" t="s">
        <v>1095</v>
      </c>
      <c r="E129" s="2" t="s">
        <v>1093</v>
      </c>
      <c r="F129" s="2" t="s">
        <v>1291</v>
      </c>
      <c r="G129" s="2" t="s">
        <v>1094</v>
      </c>
      <c r="H129" s="2" t="s">
        <v>81</v>
      </c>
      <c r="I129" s="197" t="s">
        <v>4465</v>
      </c>
      <c r="J129" s="245" t="s">
        <v>593</v>
      </c>
      <c r="K129" s="2" t="s">
        <v>4333</v>
      </c>
      <c r="L129" s="2" t="s">
        <v>4334</v>
      </c>
      <c r="M129" s="2" t="s">
        <v>4335</v>
      </c>
      <c r="N129" s="2" t="s">
        <v>4336</v>
      </c>
      <c r="O129" s="197" t="s">
        <v>1143</v>
      </c>
      <c r="P129" s="261" t="s">
        <v>593</v>
      </c>
      <c r="Q129" s="27" t="s">
        <v>1144</v>
      </c>
      <c r="R129" s="27" t="s">
        <v>1145</v>
      </c>
      <c r="S129" s="27" t="s">
        <v>1146</v>
      </c>
      <c r="T129" s="28" t="s">
        <v>1147</v>
      </c>
    </row>
    <row r="130" spans="1:21" s="507" customFormat="1" ht="12.9" customHeight="1" x14ac:dyDescent="0.2">
      <c r="A130" s="505" t="str">
        <f>+A186</f>
        <v>2017 P</v>
      </c>
      <c r="B130" s="3">
        <v>3</v>
      </c>
      <c r="C130" s="197" t="s">
        <v>4465</v>
      </c>
      <c r="D130" s="245" t="s">
        <v>593</v>
      </c>
      <c r="E130" s="2" t="s">
        <v>4517</v>
      </c>
      <c r="F130" s="2" t="s">
        <v>4334</v>
      </c>
      <c r="G130" s="2" t="s">
        <v>4335</v>
      </c>
      <c r="H130" s="2" t="s">
        <v>4336</v>
      </c>
      <c r="I130" s="197" t="s">
        <v>1103</v>
      </c>
      <c r="J130" s="261" t="s">
        <v>4599</v>
      </c>
      <c r="K130" s="27" t="s">
        <v>1105</v>
      </c>
      <c r="L130" s="27" t="s">
        <v>1106</v>
      </c>
      <c r="M130" s="27" t="s">
        <v>1107</v>
      </c>
      <c r="N130" s="28" t="s">
        <v>1108</v>
      </c>
      <c r="O130" s="197" t="s">
        <v>4349</v>
      </c>
      <c r="P130" s="197" t="s">
        <v>4399</v>
      </c>
      <c r="Q130" s="2" t="s">
        <v>4350</v>
      </c>
      <c r="R130" s="2" t="s">
        <v>83</v>
      </c>
      <c r="S130" s="2" t="s">
        <v>927</v>
      </c>
      <c r="T130" s="3" t="s">
        <v>4351</v>
      </c>
    </row>
    <row r="131" spans="1:21" s="507" customFormat="1" ht="12.9" customHeight="1" x14ac:dyDescent="0.2">
      <c r="A131" s="505" t="str">
        <f>+A187</f>
        <v>2018 P</v>
      </c>
      <c r="B131" s="3">
        <v>3</v>
      </c>
      <c r="C131" s="197" t="s">
        <v>1103</v>
      </c>
      <c r="D131" s="261" t="s">
        <v>4599</v>
      </c>
      <c r="E131" s="27" t="s">
        <v>1105</v>
      </c>
      <c r="F131" s="27" t="s">
        <v>1106</v>
      </c>
      <c r="G131" s="27" t="s">
        <v>1107</v>
      </c>
      <c r="H131" s="28" t="s">
        <v>1108</v>
      </c>
      <c r="I131" s="197" t="s">
        <v>4639</v>
      </c>
      <c r="J131" s="261" t="s">
        <v>593</v>
      </c>
      <c r="K131" s="27" t="s">
        <v>4640</v>
      </c>
      <c r="L131" s="27" t="s">
        <v>4641</v>
      </c>
      <c r="M131" s="27" t="s">
        <v>4642</v>
      </c>
      <c r="N131" s="28" t="s">
        <v>4643</v>
      </c>
      <c r="O131" s="197" t="s">
        <v>4644</v>
      </c>
      <c r="P131" s="197" t="s">
        <v>593</v>
      </c>
      <c r="Q131" s="2" t="s">
        <v>4645</v>
      </c>
      <c r="R131" s="2" t="s">
        <v>4646</v>
      </c>
      <c r="S131" s="2" t="s">
        <v>4647</v>
      </c>
      <c r="T131" s="3" t="s">
        <v>4648</v>
      </c>
    </row>
    <row r="132" spans="1:21" s="507" customFormat="1" ht="12.9" customHeight="1" x14ac:dyDescent="0.2">
      <c r="A132" s="505" t="str">
        <f>+A188</f>
        <v>2019 P</v>
      </c>
      <c r="B132" s="3">
        <v>3</v>
      </c>
      <c r="C132" s="197" t="s">
        <v>4853</v>
      </c>
      <c r="D132" s="261" t="s">
        <v>4868</v>
      </c>
      <c r="E132" s="27" t="s">
        <v>82</v>
      </c>
      <c r="F132" s="27" t="s">
        <v>1106</v>
      </c>
      <c r="G132" s="27" t="s">
        <v>1107</v>
      </c>
      <c r="H132" s="28" t="s">
        <v>1108</v>
      </c>
      <c r="I132" s="197" t="s">
        <v>4854</v>
      </c>
      <c r="J132" s="261" t="s">
        <v>4869</v>
      </c>
      <c r="K132" s="27" t="s">
        <v>4819</v>
      </c>
      <c r="L132" s="27" t="s">
        <v>4546</v>
      </c>
      <c r="M132" s="27" t="s">
        <v>4538</v>
      </c>
      <c r="N132" s="28" t="s">
        <v>4647</v>
      </c>
      <c r="O132" s="197" t="s">
        <v>4835</v>
      </c>
      <c r="P132" s="504" t="s">
        <v>593</v>
      </c>
      <c r="Q132" s="2" t="s">
        <v>4836</v>
      </c>
      <c r="R132" s="2" t="s">
        <v>4837</v>
      </c>
      <c r="S132" s="2" t="s">
        <v>4838</v>
      </c>
      <c r="T132" s="3" t="s">
        <v>932</v>
      </c>
      <c r="U132" s="197" t="s">
        <v>4651</v>
      </c>
    </row>
    <row r="133" spans="1:21" s="507" customFormat="1" ht="12.9" customHeight="1" x14ac:dyDescent="0.2">
      <c r="A133" s="496"/>
      <c r="B133" s="496"/>
      <c r="C133" s="198"/>
      <c r="D133" s="198"/>
      <c r="E133" s="9"/>
      <c r="F133" s="4"/>
      <c r="G133" s="4"/>
      <c r="H133" s="5"/>
      <c r="I133" s="198"/>
      <c r="J133" s="198"/>
      <c r="K133" s="9"/>
      <c r="L133" s="4"/>
      <c r="M133" s="4"/>
      <c r="N133" s="5"/>
      <c r="O133" s="198"/>
      <c r="P133" s="198"/>
      <c r="Q133" s="9"/>
      <c r="R133" s="4"/>
      <c r="S133" s="4"/>
      <c r="T133" s="5"/>
    </row>
    <row r="134" spans="1:21" ht="12.9" customHeight="1" x14ac:dyDescent="0.2">
      <c r="A134" s="2"/>
      <c r="B134" s="2"/>
      <c r="C134" s="280"/>
      <c r="D134" s="280"/>
      <c r="E134" s="2"/>
      <c r="F134" s="2"/>
      <c r="G134" s="2"/>
      <c r="H134" s="2"/>
      <c r="I134" s="280"/>
      <c r="J134" s="280"/>
      <c r="K134" s="2"/>
      <c r="L134" s="2"/>
      <c r="M134" s="2"/>
      <c r="N134" s="2"/>
      <c r="O134" s="280"/>
      <c r="P134" s="280"/>
      <c r="Q134" s="2"/>
      <c r="R134" s="2"/>
      <c r="S134" s="2"/>
      <c r="T134" s="2"/>
    </row>
    <row r="135" spans="1:21" ht="12.9" customHeight="1" x14ac:dyDescent="0.2">
      <c r="A135" s="2"/>
      <c r="B135" s="2"/>
      <c r="C135" s="280"/>
      <c r="D135" s="280"/>
      <c r="E135" s="2"/>
      <c r="F135" s="2"/>
      <c r="G135" s="2"/>
      <c r="H135" s="2"/>
      <c r="I135" s="280"/>
      <c r="J135" s="280"/>
      <c r="K135" s="2"/>
      <c r="L135" s="2"/>
      <c r="M135" s="2"/>
      <c r="N135" s="2"/>
      <c r="O135" s="280"/>
      <c r="P135" s="280"/>
      <c r="Q135" s="2"/>
      <c r="R135" s="2"/>
      <c r="S135" s="2"/>
      <c r="T135" s="2"/>
    </row>
    <row r="136" spans="1:21" ht="12.9" customHeight="1" x14ac:dyDescent="0.2">
      <c r="A136" s="2"/>
      <c r="B136" s="2"/>
      <c r="C136" s="280"/>
      <c r="D136" s="280"/>
      <c r="E136" s="2"/>
      <c r="F136" s="2"/>
      <c r="G136" s="2"/>
      <c r="H136" s="2"/>
      <c r="I136" s="280"/>
      <c r="J136" s="280"/>
      <c r="K136" s="2"/>
      <c r="L136" s="2"/>
      <c r="M136" s="2"/>
      <c r="N136" s="2"/>
      <c r="O136" s="280"/>
      <c r="P136" s="280"/>
      <c r="Q136" s="2"/>
      <c r="R136" s="2"/>
      <c r="S136" s="2"/>
      <c r="T136" s="2"/>
    </row>
    <row r="137" spans="1:21" ht="12.9" customHeight="1" x14ac:dyDescent="0.2">
      <c r="A137" s="2"/>
      <c r="B137" s="2"/>
      <c r="C137" s="280"/>
      <c r="D137" s="280"/>
      <c r="E137" s="2"/>
      <c r="F137" s="2"/>
      <c r="G137" s="2"/>
      <c r="H137" s="2"/>
      <c r="I137" s="280"/>
      <c r="J137" s="280"/>
      <c r="K137" s="2"/>
      <c r="L137" s="2"/>
      <c r="M137" s="2"/>
      <c r="N137" s="2"/>
      <c r="O137" s="280"/>
      <c r="P137" s="280"/>
      <c r="Q137" s="2"/>
      <c r="R137" s="2"/>
      <c r="S137" s="2"/>
      <c r="T137" s="2"/>
    </row>
    <row r="138" spans="1:21" ht="12.9" customHeight="1" x14ac:dyDescent="0.2">
      <c r="A138" s="2"/>
      <c r="B138" s="2"/>
      <c r="C138" s="280"/>
      <c r="D138" s="280"/>
      <c r="E138" s="2"/>
      <c r="F138" s="2"/>
      <c r="G138" s="2"/>
      <c r="H138" s="2"/>
      <c r="I138" s="280"/>
      <c r="J138" s="280"/>
      <c r="K138" s="2"/>
      <c r="L138" s="2"/>
      <c r="M138" s="2"/>
      <c r="N138" s="2"/>
      <c r="O138" s="280"/>
      <c r="P138" s="280"/>
      <c r="Q138" s="2"/>
      <c r="R138" s="2"/>
      <c r="S138" s="2"/>
      <c r="T138" s="2"/>
    </row>
    <row r="139" spans="1:21" ht="12.9" customHeight="1" x14ac:dyDescent="0.2">
      <c r="A139" s="2"/>
      <c r="B139" s="2"/>
      <c r="C139" s="280"/>
      <c r="D139" s="280"/>
      <c r="E139" s="2"/>
      <c r="F139" s="2"/>
      <c r="G139" s="2"/>
      <c r="H139" s="2"/>
      <c r="I139" s="280"/>
      <c r="J139" s="280"/>
      <c r="K139" s="2"/>
      <c r="L139" s="2"/>
      <c r="M139" s="2"/>
      <c r="N139" s="2"/>
      <c r="O139" s="280"/>
      <c r="P139" s="280"/>
      <c r="Q139" s="2"/>
      <c r="R139" s="2"/>
      <c r="S139" s="2"/>
      <c r="T139" s="2"/>
    </row>
    <row r="140" spans="1:21" ht="12.9" customHeight="1" x14ac:dyDescent="0.2">
      <c r="A140" s="2"/>
      <c r="B140" s="2"/>
      <c r="C140" s="280"/>
      <c r="D140" s="280"/>
      <c r="E140" s="2"/>
      <c r="F140" s="2"/>
      <c r="G140" s="2"/>
      <c r="H140" s="2"/>
      <c r="I140" s="280"/>
      <c r="J140" s="280"/>
      <c r="K140" s="2"/>
      <c r="L140" s="2"/>
      <c r="M140" s="2"/>
      <c r="N140" s="2"/>
      <c r="O140" s="280"/>
      <c r="P140" s="280"/>
      <c r="Q140" s="2"/>
      <c r="R140" s="2"/>
      <c r="S140" s="2"/>
      <c r="T140" s="2"/>
    </row>
    <row r="141" spans="1:21" ht="12.9" customHeight="1" x14ac:dyDescent="0.2">
      <c r="A141" s="2"/>
      <c r="B141" s="2"/>
      <c r="C141" s="280"/>
      <c r="D141" s="280"/>
      <c r="E141" s="2"/>
      <c r="F141" s="2"/>
      <c r="G141" s="2"/>
      <c r="H141" s="2"/>
      <c r="I141" s="280"/>
      <c r="J141" s="280"/>
      <c r="K141" s="2"/>
      <c r="L141" s="2"/>
      <c r="M141" s="2"/>
      <c r="N141" s="2"/>
      <c r="O141" s="280"/>
      <c r="P141" s="280"/>
      <c r="Q141" s="2"/>
      <c r="R141" s="2"/>
      <c r="S141" s="2"/>
      <c r="T141" s="2"/>
    </row>
    <row r="142" spans="1:21" ht="12.9" customHeight="1" x14ac:dyDescent="0.2">
      <c r="A142" s="2"/>
      <c r="B142" s="2"/>
      <c r="C142" s="280"/>
      <c r="D142" s="280"/>
      <c r="E142" s="2"/>
      <c r="F142" s="2"/>
      <c r="G142" s="2"/>
      <c r="H142" s="2"/>
      <c r="I142" s="280"/>
      <c r="J142" s="280"/>
      <c r="K142" s="2"/>
      <c r="L142" s="2"/>
      <c r="M142" s="2"/>
      <c r="N142" s="2"/>
      <c r="O142" s="280"/>
      <c r="P142" s="280"/>
      <c r="Q142" s="2"/>
      <c r="R142" s="2"/>
      <c r="S142" s="2"/>
      <c r="T142" s="2"/>
    </row>
    <row r="143" spans="1:21" ht="12.9" customHeight="1" x14ac:dyDescent="0.2">
      <c r="A143" s="2"/>
      <c r="B143" s="2"/>
      <c r="C143" s="280"/>
      <c r="D143" s="280"/>
      <c r="E143" s="2"/>
      <c r="F143" s="2"/>
      <c r="G143" s="2"/>
      <c r="H143" s="2"/>
      <c r="I143" s="280"/>
      <c r="J143" s="280"/>
      <c r="K143" s="2"/>
      <c r="L143" s="2"/>
      <c r="M143" s="2"/>
      <c r="N143" s="2"/>
      <c r="O143" s="280"/>
      <c r="P143" s="280"/>
      <c r="Q143" s="2"/>
      <c r="R143" s="2"/>
      <c r="S143" s="2"/>
      <c r="T143" s="2"/>
    </row>
    <row r="144" spans="1:21" ht="12.9" customHeight="1" x14ac:dyDescent="0.2">
      <c r="A144" s="2"/>
      <c r="B144" s="2"/>
      <c r="C144" s="280"/>
      <c r="D144" s="280"/>
      <c r="E144" s="2"/>
      <c r="F144" s="2"/>
      <c r="G144" s="2"/>
      <c r="H144" s="2"/>
      <c r="I144" s="280"/>
      <c r="J144" s="280"/>
      <c r="K144" s="2"/>
      <c r="L144" s="2"/>
      <c r="M144" s="2"/>
      <c r="N144" s="2"/>
      <c r="O144" s="280"/>
      <c r="P144" s="280"/>
      <c r="Q144" s="2"/>
      <c r="R144" s="2"/>
      <c r="S144" s="2"/>
      <c r="T144" s="2"/>
    </row>
    <row r="145" spans="1:20" ht="12.9" customHeight="1" x14ac:dyDescent="0.2">
      <c r="A145" s="2"/>
      <c r="B145" s="2"/>
      <c r="C145" s="280"/>
      <c r="D145" s="280"/>
      <c r="E145" s="2"/>
      <c r="F145" s="2"/>
      <c r="G145" s="2"/>
      <c r="H145" s="2"/>
      <c r="I145" s="280"/>
      <c r="J145" s="280"/>
      <c r="K145" s="2"/>
      <c r="L145" s="2"/>
      <c r="M145" s="2"/>
      <c r="N145" s="2"/>
      <c r="O145" s="280"/>
      <c r="P145" s="280"/>
      <c r="Q145" s="2"/>
      <c r="R145" s="2"/>
      <c r="S145" s="2"/>
      <c r="T145" s="2"/>
    </row>
    <row r="146" spans="1:20" ht="12.9" customHeight="1" x14ac:dyDescent="0.2">
      <c r="A146" s="2"/>
      <c r="B146" s="2"/>
      <c r="C146" s="280"/>
      <c r="D146" s="280"/>
      <c r="E146" s="2"/>
      <c r="F146" s="2"/>
      <c r="G146" s="2"/>
      <c r="H146" s="2"/>
      <c r="I146" s="280"/>
      <c r="J146" s="280"/>
      <c r="K146" s="2"/>
      <c r="L146" s="2"/>
      <c r="M146" s="2"/>
      <c r="N146" s="2"/>
      <c r="O146" s="280"/>
      <c r="P146" s="280"/>
      <c r="Q146" s="2"/>
      <c r="R146" s="2"/>
      <c r="S146" s="2"/>
      <c r="T146" s="2"/>
    </row>
    <row r="147" spans="1:20" ht="12.9" customHeight="1" x14ac:dyDescent="0.2">
      <c r="A147" s="2"/>
      <c r="B147" s="2"/>
      <c r="C147" s="280"/>
      <c r="D147" s="280"/>
      <c r="E147" s="2"/>
      <c r="F147" s="2"/>
      <c r="G147" s="2"/>
      <c r="H147" s="2"/>
      <c r="I147" s="280"/>
      <c r="J147" s="280"/>
      <c r="K147" s="2"/>
      <c r="L147" s="2"/>
      <c r="M147" s="2"/>
      <c r="N147" s="2"/>
      <c r="O147" s="280"/>
      <c r="P147" s="280"/>
      <c r="Q147" s="2"/>
      <c r="R147" s="2"/>
      <c r="S147" s="2"/>
      <c r="T147" s="2"/>
    </row>
    <row r="148" spans="1:20" ht="12.9" customHeight="1" x14ac:dyDescent="0.2">
      <c r="A148" s="2"/>
      <c r="B148" s="2"/>
      <c r="C148" s="280"/>
      <c r="D148" s="280"/>
      <c r="E148" s="2"/>
      <c r="F148" s="2"/>
      <c r="G148" s="2"/>
      <c r="H148" s="2"/>
      <c r="I148" s="280"/>
      <c r="J148" s="280"/>
      <c r="K148" s="2"/>
      <c r="L148" s="2"/>
      <c r="M148" s="2"/>
      <c r="N148" s="2"/>
      <c r="O148" s="280"/>
      <c r="P148" s="280"/>
      <c r="Q148" s="2"/>
      <c r="R148" s="2"/>
      <c r="S148" s="2"/>
      <c r="T148" s="2"/>
    </row>
    <row r="149" spans="1:20" ht="12.9" customHeight="1" x14ac:dyDescent="0.2">
      <c r="A149" s="2"/>
      <c r="B149" s="2"/>
      <c r="C149" s="280"/>
      <c r="D149" s="280"/>
      <c r="E149" s="2"/>
      <c r="F149" s="2"/>
      <c r="G149" s="2"/>
      <c r="H149" s="2"/>
      <c r="I149" s="280"/>
      <c r="J149" s="280"/>
      <c r="K149" s="2"/>
      <c r="L149" s="2"/>
      <c r="M149" s="2"/>
      <c r="N149" s="2"/>
      <c r="O149" s="280"/>
      <c r="P149" s="280"/>
      <c r="Q149" s="2"/>
      <c r="R149" s="2"/>
      <c r="S149" s="2"/>
      <c r="T149" s="2"/>
    </row>
    <row r="150" spans="1:20" ht="12.9" customHeight="1" x14ac:dyDescent="0.2">
      <c r="A150" s="2"/>
      <c r="B150" s="2"/>
      <c r="C150" s="280"/>
      <c r="D150" s="280"/>
      <c r="E150" s="2"/>
      <c r="F150" s="2"/>
      <c r="G150" s="2"/>
      <c r="H150" s="2"/>
      <c r="I150" s="280"/>
      <c r="J150" s="280"/>
      <c r="K150" s="2"/>
      <c r="L150" s="2"/>
      <c r="M150" s="2"/>
      <c r="N150" s="2"/>
      <c r="O150" s="280"/>
      <c r="P150" s="280"/>
      <c r="Q150" s="2"/>
      <c r="R150" s="2"/>
      <c r="S150" s="2"/>
      <c r="T150" s="2"/>
    </row>
    <row r="151" spans="1:20" ht="12.9" customHeight="1" x14ac:dyDescent="0.2">
      <c r="A151" s="2"/>
      <c r="B151" s="2"/>
      <c r="C151" s="280"/>
      <c r="D151" s="280"/>
      <c r="E151" s="2"/>
      <c r="F151" s="2"/>
      <c r="G151" s="2"/>
      <c r="H151" s="2"/>
      <c r="I151" s="280"/>
      <c r="J151" s="280"/>
      <c r="K151" s="2"/>
      <c r="L151" s="2"/>
      <c r="M151" s="2"/>
      <c r="N151" s="2"/>
      <c r="O151" s="280"/>
      <c r="P151" s="280"/>
      <c r="Q151" s="2"/>
      <c r="R151" s="2"/>
      <c r="S151" s="2"/>
      <c r="T151" s="2"/>
    </row>
    <row r="152" spans="1:20" ht="12.9" customHeight="1" x14ac:dyDescent="0.2">
      <c r="A152" s="2"/>
      <c r="B152" s="2"/>
      <c r="C152" s="280"/>
      <c r="D152" s="280"/>
      <c r="E152" s="2"/>
      <c r="F152" s="2"/>
      <c r="G152" s="2"/>
      <c r="H152" s="2"/>
      <c r="I152" s="280"/>
      <c r="J152" s="280"/>
      <c r="K152" s="2"/>
      <c r="L152" s="2"/>
      <c r="M152" s="2"/>
      <c r="N152" s="2"/>
      <c r="O152" s="280"/>
      <c r="P152" s="280"/>
      <c r="Q152" s="2"/>
      <c r="R152" s="2"/>
      <c r="S152" s="2"/>
      <c r="T152" s="2"/>
    </row>
    <row r="153" spans="1:20" ht="12.9" customHeight="1" x14ac:dyDescent="0.2">
      <c r="A153" s="2"/>
      <c r="B153" s="2"/>
      <c r="C153" s="280"/>
      <c r="D153" s="280"/>
      <c r="E153" s="2"/>
      <c r="F153" s="2"/>
      <c r="G153" s="2"/>
      <c r="H153" s="2"/>
      <c r="I153" s="280"/>
      <c r="J153" s="280"/>
      <c r="K153" s="2"/>
      <c r="L153" s="2"/>
      <c r="M153" s="2"/>
      <c r="N153" s="2"/>
      <c r="O153" s="280"/>
      <c r="P153" s="280"/>
      <c r="Q153" s="2"/>
      <c r="R153" s="2"/>
      <c r="S153" s="2"/>
      <c r="T153" s="2"/>
    </row>
    <row r="154" spans="1:20" ht="12.9" customHeight="1" x14ac:dyDescent="0.2">
      <c r="A154" s="2"/>
      <c r="B154" s="2"/>
      <c r="C154" s="280"/>
      <c r="D154" s="280"/>
      <c r="E154" s="2"/>
      <c r="F154" s="2"/>
      <c r="G154" s="2"/>
      <c r="H154" s="2"/>
      <c r="I154" s="280"/>
      <c r="J154" s="280"/>
      <c r="K154" s="2"/>
      <c r="L154" s="2"/>
      <c r="M154" s="2"/>
      <c r="N154" s="2"/>
      <c r="O154" s="280"/>
      <c r="P154" s="280"/>
      <c r="Q154" s="2"/>
      <c r="R154" s="2"/>
      <c r="S154" s="2"/>
      <c r="T154" s="2"/>
    </row>
    <row r="155" spans="1:20" ht="12.9" customHeight="1" x14ac:dyDescent="0.2">
      <c r="A155" s="2"/>
      <c r="B155" s="2"/>
      <c r="C155" s="280"/>
      <c r="D155" s="280"/>
      <c r="E155" s="2"/>
      <c r="F155" s="2"/>
      <c r="G155" s="2"/>
      <c r="H155" s="2"/>
      <c r="I155" s="280"/>
      <c r="J155" s="280"/>
      <c r="K155" s="2"/>
      <c r="L155" s="2"/>
      <c r="M155" s="2"/>
      <c r="N155" s="2"/>
      <c r="O155" s="280"/>
      <c r="P155" s="280"/>
      <c r="Q155" s="2"/>
      <c r="R155" s="2"/>
      <c r="S155" s="2"/>
      <c r="T155" s="2"/>
    </row>
    <row r="156" spans="1:20" ht="12.9" customHeight="1" x14ac:dyDescent="0.2">
      <c r="A156" s="2"/>
      <c r="B156" s="2"/>
      <c r="C156" s="280"/>
      <c r="D156" s="280"/>
      <c r="E156" s="2"/>
      <c r="F156" s="2"/>
      <c r="G156" s="2"/>
      <c r="H156" s="2"/>
      <c r="I156" s="280"/>
      <c r="J156" s="280"/>
      <c r="K156" s="2"/>
      <c r="L156" s="2"/>
      <c r="M156" s="2"/>
      <c r="N156" s="2"/>
      <c r="O156" s="280"/>
      <c r="P156" s="280"/>
      <c r="Q156" s="2"/>
      <c r="R156" s="2"/>
      <c r="S156" s="2"/>
      <c r="T156" s="2"/>
    </row>
    <row r="157" spans="1:20" ht="12.9" customHeight="1" x14ac:dyDescent="0.2">
      <c r="A157" s="2"/>
      <c r="B157" s="2"/>
      <c r="C157" s="280"/>
      <c r="D157" s="280"/>
      <c r="E157" s="2"/>
      <c r="F157" s="2"/>
      <c r="G157" s="2"/>
      <c r="H157" s="2"/>
      <c r="I157" s="280"/>
      <c r="J157" s="280"/>
      <c r="K157" s="2"/>
      <c r="L157" s="2"/>
      <c r="M157" s="2"/>
      <c r="N157" s="2"/>
      <c r="O157" s="280"/>
      <c r="P157" s="280"/>
      <c r="Q157" s="2"/>
      <c r="R157" s="2"/>
      <c r="S157" s="2"/>
      <c r="T157" s="2"/>
    </row>
    <row r="158" spans="1:20" ht="12.9" customHeight="1" x14ac:dyDescent="0.2">
      <c r="A158" s="2"/>
      <c r="B158" s="2"/>
      <c r="C158" s="280"/>
      <c r="D158" s="280"/>
      <c r="E158" s="2"/>
      <c r="F158" s="2"/>
      <c r="G158" s="2"/>
      <c r="H158" s="2"/>
      <c r="I158" s="280"/>
      <c r="J158" s="280"/>
      <c r="K158" s="2"/>
      <c r="L158" s="2"/>
      <c r="M158" s="2"/>
      <c r="N158" s="2"/>
      <c r="O158" s="280"/>
      <c r="P158" s="280"/>
      <c r="Q158" s="2"/>
      <c r="R158" s="2"/>
      <c r="S158" s="2"/>
      <c r="T158" s="2"/>
    </row>
    <row r="159" spans="1:20" ht="12.9" customHeight="1" x14ac:dyDescent="0.2">
      <c r="A159" s="2"/>
      <c r="B159" s="2"/>
      <c r="C159" s="280"/>
      <c r="D159" s="280"/>
      <c r="E159" s="2"/>
      <c r="F159" s="2"/>
      <c r="G159" s="2"/>
      <c r="H159" s="2"/>
      <c r="I159" s="280"/>
      <c r="J159" s="280"/>
      <c r="K159" s="2"/>
      <c r="L159" s="2"/>
      <c r="M159" s="2"/>
      <c r="N159" s="2"/>
      <c r="O159" s="280"/>
      <c r="P159" s="280"/>
      <c r="Q159" s="2"/>
      <c r="R159" s="2"/>
      <c r="S159" s="2"/>
      <c r="T159" s="2"/>
    </row>
    <row r="161" spans="1:20" ht="12.9" customHeight="1" x14ac:dyDescent="0.2">
      <c r="A161" s="509" t="s">
        <v>2012</v>
      </c>
      <c r="B161" s="494"/>
      <c r="C161" s="675" t="s">
        <v>271</v>
      </c>
      <c r="D161" s="676"/>
      <c r="E161" s="676"/>
      <c r="F161" s="676"/>
      <c r="G161" s="676"/>
      <c r="H161" s="677"/>
      <c r="I161" s="675" t="s">
        <v>272</v>
      </c>
      <c r="J161" s="676"/>
      <c r="K161" s="676"/>
      <c r="L161" s="676"/>
      <c r="M161" s="676"/>
      <c r="N161" s="677"/>
      <c r="O161" s="675" t="s">
        <v>273</v>
      </c>
      <c r="P161" s="676"/>
      <c r="Q161" s="676"/>
      <c r="R161" s="676"/>
      <c r="S161" s="676"/>
      <c r="T161" s="677"/>
    </row>
    <row r="162" spans="1:20" ht="12.9" customHeight="1" x14ac:dyDescent="0.2">
      <c r="A162" s="496"/>
      <c r="B162" s="9"/>
      <c r="C162" s="516" t="s">
        <v>274</v>
      </c>
      <c r="D162" s="498"/>
      <c r="E162" s="4" t="s">
        <v>2017</v>
      </c>
      <c r="F162" s="4" t="s">
        <v>2018</v>
      </c>
      <c r="G162" s="4" t="s">
        <v>2019</v>
      </c>
      <c r="H162" s="5" t="s">
        <v>2020</v>
      </c>
      <c r="I162" s="497"/>
      <c r="J162" s="498"/>
      <c r="K162" s="4" t="s">
        <v>2017</v>
      </c>
      <c r="L162" s="4" t="s">
        <v>2018</v>
      </c>
      <c r="M162" s="4" t="s">
        <v>2019</v>
      </c>
      <c r="N162" s="5" t="s">
        <v>2020</v>
      </c>
      <c r="O162" s="497"/>
      <c r="P162" s="498"/>
      <c r="Q162" s="4" t="s">
        <v>2017</v>
      </c>
      <c r="R162" s="4" t="s">
        <v>2018</v>
      </c>
      <c r="S162" s="4" t="s">
        <v>2019</v>
      </c>
      <c r="T162" s="5" t="s">
        <v>2020</v>
      </c>
    </row>
    <row r="163" spans="1:20" ht="12.9" customHeight="1" x14ac:dyDescent="0.2">
      <c r="A163" s="517" t="s">
        <v>275</v>
      </c>
      <c r="B163" s="517">
        <v>30</v>
      </c>
      <c r="C163" s="499" t="s">
        <v>3945</v>
      </c>
      <c r="D163" s="499" t="s">
        <v>3280</v>
      </c>
      <c r="E163" s="518" t="s">
        <v>40</v>
      </c>
      <c r="F163" s="417" t="s">
        <v>41</v>
      </c>
      <c r="G163" s="417" t="s">
        <v>2706</v>
      </c>
      <c r="H163" s="404" t="s">
        <v>2705</v>
      </c>
      <c r="I163" s="499" t="s">
        <v>3946</v>
      </c>
      <c r="J163" s="499" t="s">
        <v>517</v>
      </c>
      <c r="K163" s="518" t="s">
        <v>3517</v>
      </c>
      <c r="L163" s="417" t="s">
        <v>662</v>
      </c>
      <c r="M163" s="417" t="s">
        <v>3518</v>
      </c>
      <c r="N163" s="404" t="s">
        <v>3519</v>
      </c>
      <c r="O163" s="499" t="s">
        <v>1961</v>
      </c>
      <c r="P163" s="499" t="s">
        <v>4041</v>
      </c>
      <c r="Q163" s="518" t="s">
        <v>1962</v>
      </c>
      <c r="R163" s="417" t="s">
        <v>132</v>
      </c>
      <c r="S163" s="417" t="s">
        <v>4044</v>
      </c>
      <c r="T163" s="404" t="s">
        <v>265</v>
      </c>
    </row>
    <row r="164" spans="1:20" ht="12.9" customHeight="1" x14ac:dyDescent="0.2">
      <c r="A164" s="505" t="s">
        <v>1963</v>
      </c>
      <c r="B164" s="503">
        <v>41</v>
      </c>
      <c r="C164" s="197" t="s">
        <v>147</v>
      </c>
      <c r="D164" s="197" t="s">
        <v>148</v>
      </c>
      <c r="E164" s="7" t="s">
        <v>149</v>
      </c>
      <c r="F164" s="2" t="s">
        <v>44</v>
      </c>
      <c r="G164" s="2" t="s">
        <v>151</v>
      </c>
      <c r="H164" s="3" t="s">
        <v>4054</v>
      </c>
      <c r="I164" s="197" t="s">
        <v>1623</v>
      </c>
      <c r="J164" s="197" t="s">
        <v>1624</v>
      </c>
      <c r="K164" s="7" t="s">
        <v>1625</v>
      </c>
      <c r="L164" s="2" t="s">
        <v>1964</v>
      </c>
      <c r="M164" s="2" t="s">
        <v>1965</v>
      </c>
      <c r="N164" s="3" t="s">
        <v>1628</v>
      </c>
      <c r="O164" s="197" t="s">
        <v>3945</v>
      </c>
      <c r="P164" s="197" t="s">
        <v>3280</v>
      </c>
      <c r="Q164" s="7" t="s">
        <v>4244</v>
      </c>
      <c r="R164" s="2" t="s">
        <v>2812</v>
      </c>
      <c r="S164" s="2" t="s">
        <v>2706</v>
      </c>
      <c r="T164" s="3" t="s">
        <v>2705</v>
      </c>
    </row>
    <row r="165" spans="1:20" ht="12.9" customHeight="1" x14ac:dyDescent="0.2">
      <c r="A165" s="505" t="s">
        <v>1966</v>
      </c>
      <c r="B165" s="503">
        <v>31</v>
      </c>
      <c r="C165" s="197" t="s">
        <v>3291</v>
      </c>
      <c r="D165" s="197" t="s">
        <v>3292</v>
      </c>
      <c r="E165" s="7" t="s">
        <v>4036</v>
      </c>
      <c r="F165" s="2" t="s">
        <v>4039</v>
      </c>
      <c r="G165" s="2" t="s">
        <v>4038</v>
      </c>
      <c r="H165" s="3" t="s">
        <v>143</v>
      </c>
      <c r="I165" s="197" t="s">
        <v>163</v>
      </c>
      <c r="J165" s="197" t="s">
        <v>164</v>
      </c>
      <c r="K165" s="7" t="s">
        <v>165</v>
      </c>
      <c r="L165" s="2" t="s">
        <v>166</v>
      </c>
      <c r="M165" s="2" t="s">
        <v>167</v>
      </c>
      <c r="N165" s="3" t="s">
        <v>168</v>
      </c>
      <c r="O165" s="197" t="s">
        <v>1967</v>
      </c>
      <c r="P165" s="197" t="s">
        <v>1968</v>
      </c>
      <c r="Q165" s="7" t="s">
        <v>1969</v>
      </c>
      <c r="R165" s="2" t="s">
        <v>1970</v>
      </c>
      <c r="S165" s="2" t="s">
        <v>255</v>
      </c>
      <c r="T165" s="3" t="s">
        <v>1971</v>
      </c>
    </row>
    <row r="166" spans="1:20" ht="12.9" customHeight="1" x14ac:dyDescent="0.2">
      <c r="A166" s="505" t="s">
        <v>1972</v>
      </c>
      <c r="B166" s="503">
        <v>30</v>
      </c>
      <c r="C166" s="197" t="s">
        <v>3291</v>
      </c>
      <c r="D166" s="197" t="s">
        <v>3292</v>
      </c>
      <c r="E166" s="7" t="s">
        <v>3293</v>
      </c>
      <c r="F166" s="2" t="s">
        <v>3294</v>
      </c>
      <c r="G166" s="2" t="s">
        <v>3295</v>
      </c>
      <c r="H166" s="3" t="s">
        <v>1622</v>
      </c>
      <c r="I166" s="197" t="s">
        <v>2135</v>
      </c>
      <c r="J166" s="197" t="s">
        <v>4041</v>
      </c>
      <c r="K166" s="7" t="s">
        <v>4056</v>
      </c>
      <c r="L166" s="2" t="s">
        <v>2136</v>
      </c>
      <c r="M166" s="2" t="s">
        <v>4076</v>
      </c>
      <c r="N166" s="3" t="s">
        <v>4045</v>
      </c>
      <c r="O166" s="197" t="s">
        <v>2137</v>
      </c>
      <c r="P166" s="197" t="s">
        <v>579</v>
      </c>
      <c r="Q166" s="7" t="s">
        <v>2138</v>
      </c>
      <c r="R166" s="2" t="s">
        <v>2139</v>
      </c>
      <c r="S166" s="2" t="s">
        <v>2140</v>
      </c>
      <c r="T166" s="3" t="s">
        <v>2141</v>
      </c>
    </row>
    <row r="167" spans="1:20" s="507" customFormat="1" ht="12.9" customHeight="1" x14ac:dyDescent="0.2">
      <c r="A167" s="505" t="s">
        <v>2142</v>
      </c>
      <c r="B167" s="503">
        <v>38</v>
      </c>
      <c r="C167" s="197" t="s">
        <v>281</v>
      </c>
      <c r="D167" s="197" t="s">
        <v>28</v>
      </c>
      <c r="E167" s="7" t="s">
        <v>29</v>
      </c>
      <c r="F167" s="2" t="s">
        <v>30</v>
      </c>
      <c r="G167" s="2" t="s">
        <v>31</v>
      </c>
      <c r="H167" s="3" t="s">
        <v>599</v>
      </c>
      <c r="I167" s="197" t="s">
        <v>1646</v>
      </c>
      <c r="J167" s="197" t="s">
        <v>2361</v>
      </c>
      <c r="K167" s="7" t="s">
        <v>3687</v>
      </c>
      <c r="L167" s="2" t="s">
        <v>3688</v>
      </c>
      <c r="M167" s="2" t="s">
        <v>3689</v>
      </c>
      <c r="N167" s="3" t="s">
        <v>3690</v>
      </c>
      <c r="O167" s="197" t="s">
        <v>1635</v>
      </c>
      <c r="P167" s="197" t="s">
        <v>1636</v>
      </c>
      <c r="Q167" s="7" t="s">
        <v>1637</v>
      </c>
      <c r="R167" s="2" t="s">
        <v>1638</v>
      </c>
      <c r="S167" s="2" t="s">
        <v>1639</v>
      </c>
      <c r="T167" s="3" t="s">
        <v>134</v>
      </c>
    </row>
    <row r="168" spans="1:20" s="507" customFormat="1" ht="12.9" customHeight="1" x14ac:dyDescent="0.2">
      <c r="A168" s="505" t="s">
        <v>2143</v>
      </c>
      <c r="B168" s="503">
        <v>31</v>
      </c>
      <c r="C168" s="197" t="s">
        <v>281</v>
      </c>
      <c r="D168" s="197" t="s">
        <v>28</v>
      </c>
      <c r="E168" s="7" t="s">
        <v>4084</v>
      </c>
      <c r="F168" s="2" t="s">
        <v>4085</v>
      </c>
      <c r="G168" s="2" t="s">
        <v>4086</v>
      </c>
      <c r="H168" s="3" t="s">
        <v>600</v>
      </c>
      <c r="I168" s="197" t="s">
        <v>3291</v>
      </c>
      <c r="J168" s="197" t="s">
        <v>3292</v>
      </c>
      <c r="K168" s="7" t="s">
        <v>449</v>
      </c>
      <c r="L168" s="2" t="s">
        <v>557</v>
      </c>
      <c r="M168" s="2" t="s">
        <v>2144</v>
      </c>
      <c r="N168" s="3" t="s">
        <v>143</v>
      </c>
      <c r="O168" s="197" t="s">
        <v>2145</v>
      </c>
      <c r="P168" s="197" t="s">
        <v>2146</v>
      </c>
      <c r="Q168" s="7" t="s">
        <v>2147</v>
      </c>
      <c r="R168" s="2" t="s">
        <v>3653</v>
      </c>
      <c r="S168" s="2" t="s">
        <v>3654</v>
      </c>
      <c r="T168" s="3" t="s">
        <v>3534</v>
      </c>
    </row>
    <row r="169" spans="1:20" s="507" customFormat="1" ht="12.9" customHeight="1" x14ac:dyDescent="0.2">
      <c r="A169" s="505" t="s">
        <v>3655</v>
      </c>
      <c r="B169" s="503">
        <v>30</v>
      </c>
      <c r="C169" s="197" t="s">
        <v>1309</v>
      </c>
      <c r="D169" s="197" t="s">
        <v>1310</v>
      </c>
      <c r="E169" s="7" t="s">
        <v>196</v>
      </c>
      <c r="F169" s="2" t="s">
        <v>4077</v>
      </c>
      <c r="G169" s="2" t="s">
        <v>3656</v>
      </c>
      <c r="H169" s="3" t="s">
        <v>2746</v>
      </c>
      <c r="I169" s="197" t="s">
        <v>1304</v>
      </c>
      <c r="J169" s="197" t="s">
        <v>1305</v>
      </c>
      <c r="K169" s="7" t="s">
        <v>196</v>
      </c>
      <c r="L169" s="2" t="s">
        <v>2812</v>
      </c>
      <c r="M169" s="2" t="s">
        <v>1307</v>
      </c>
      <c r="N169" s="3" t="s">
        <v>1308</v>
      </c>
      <c r="O169" s="197" t="s">
        <v>3692</v>
      </c>
      <c r="P169" s="197" t="s">
        <v>362</v>
      </c>
      <c r="Q169" s="7" t="s">
        <v>3283</v>
      </c>
      <c r="R169" s="2" t="s">
        <v>1301</v>
      </c>
      <c r="S169" s="2" t="s">
        <v>133</v>
      </c>
      <c r="T169" s="3" t="s">
        <v>197</v>
      </c>
    </row>
    <row r="170" spans="1:20" s="507" customFormat="1" ht="12.9" customHeight="1" x14ac:dyDescent="0.2">
      <c r="A170" s="505" t="s">
        <v>198</v>
      </c>
      <c r="B170" s="503">
        <v>24</v>
      </c>
      <c r="C170" s="197" t="s">
        <v>1304</v>
      </c>
      <c r="D170" s="197" t="s">
        <v>4881</v>
      </c>
      <c r="E170" s="7" t="s">
        <v>161</v>
      </c>
      <c r="F170" s="2" t="s">
        <v>3282</v>
      </c>
      <c r="G170" s="2" t="s">
        <v>1307</v>
      </c>
      <c r="H170" s="3" t="s">
        <v>1308</v>
      </c>
      <c r="I170" s="197" t="s">
        <v>2752</v>
      </c>
      <c r="J170" s="197" t="s">
        <v>2753</v>
      </c>
      <c r="K170" s="7" t="s">
        <v>2754</v>
      </c>
      <c r="L170" s="2" t="s">
        <v>2817</v>
      </c>
      <c r="M170" s="2" t="s">
        <v>440</v>
      </c>
      <c r="N170" s="3" t="s">
        <v>1622</v>
      </c>
      <c r="O170" s="197" t="s">
        <v>4088</v>
      </c>
      <c r="P170" s="197" t="s">
        <v>3292</v>
      </c>
      <c r="Q170" s="7" t="s">
        <v>47</v>
      </c>
      <c r="R170" s="2" t="s">
        <v>4083</v>
      </c>
      <c r="S170" s="2" t="s">
        <v>2144</v>
      </c>
      <c r="T170" s="3" t="s">
        <v>557</v>
      </c>
    </row>
    <row r="171" spans="1:20" s="507" customFormat="1" ht="12.9" customHeight="1" x14ac:dyDescent="0.2">
      <c r="A171" s="505" t="s">
        <v>4089</v>
      </c>
      <c r="B171" s="503">
        <v>23</v>
      </c>
      <c r="C171" s="197" t="s">
        <v>2759</v>
      </c>
      <c r="D171" s="197" t="s">
        <v>4882</v>
      </c>
      <c r="E171" s="7" t="s">
        <v>433</v>
      </c>
      <c r="F171" s="2" t="s">
        <v>1626</v>
      </c>
      <c r="G171" s="2" t="s">
        <v>1627</v>
      </c>
      <c r="H171" s="3" t="s">
        <v>434</v>
      </c>
      <c r="I171" s="197" t="s">
        <v>1309</v>
      </c>
      <c r="J171" s="197" t="s">
        <v>1310</v>
      </c>
      <c r="K171" s="7" t="s">
        <v>4090</v>
      </c>
      <c r="L171" s="2" t="s">
        <v>4077</v>
      </c>
      <c r="M171" s="2" t="s">
        <v>2751</v>
      </c>
      <c r="N171" s="3" t="s">
        <v>2746</v>
      </c>
      <c r="O171" s="197" t="s">
        <v>2752</v>
      </c>
      <c r="P171" s="197" t="s">
        <v>2753</v>
      </c>
      <c r="Q171" s="7" t="s">
        <v>439</v>
      </c>
      <c r="R171" s="2" t="s">
        <v>2817</v>
      </c>
      <c r="S171" s="2" t="s">
        <v>440</v>
      </c>
      <c r="T171" s="3" t="s">
        <v>2818</v>
      </c>
    </row>
    <row r="172" spans="1:20" s="507" customFormat="1" ht="12.9" customHeight="1" x14ac:dyDescent="0.2">
      <c r="A172" s="505" t="s">
        <v>4091</v>
      </c>
      <c r="B172" s="503">
        <v>23</v>
      </c>
      <c r="C172" s="197" t="s">
        <v>2752</v>
      </c>
      <c r="D172" s="197" t="s">
        <v>4883</v>
      </c>
      <c r="E172" s="7" t="s">
        <v>439</v>
      </c>
      <c r="F172" s="2" t="s">
        <v>2817</v>
      </c>
      <c r="G172" s="2" t="s">
        <v>2756</v>
      </c>
      <c r="H172" s="3" t="s">
        <v>1645</v>
      </c>
      <c r="I172" s="197" t="s">
        <v>2759</v>
      </c>
      <c r="J172" s="197" t="s">
        <v>2760</v>
      </c>
      <c r="K172" s="7" t="s">
        <v>433</v>
      </c>
      <c r="L172" s="2" t="s">
        <v>4092</v>
      </c>
      <c r="M172" s="2" t="s">
        <v>2717</v>
      </c>
      <c r="N172" s="3" t="s">
        <v>434</v>
      </c>
      <c r="O172" s="197" t="s">
        <v>2145</v>
      </c>
      <c r="P172" s="197" t="s">
        <v>2718</v>
      </c>
      <c r="Q172" s="7" t="s">
        <v>2720</v>
      </c>
      <c r="R172" s="2" t="s">
        <v>2721</v>
      </c>
      <c r="S172" s="2" t="s">
        <v>2722</v>
      </c>
      <c r="T172" s="3" t="s">
        <v>2723</v>
      </c>
    </row>
    <row r="173" spans="1:20" s="507" customFormat="1" ht="12.9" customHeight="1" x14ac:dyDescent="0.2">
      <c r="A173" s="505" t="s">
        <v>2724</v>
      </c>
      <c r="B173" s="503">
        <v>27</v>
      </c>
      <c r="C173" s="197" t="s">
        <v>447</v>
      </c>
      <c r="D173" s="197" t="s">
        <v>4884</v>
      </c>
      <c r="E173" s="7" t="s">
        <v>1619</v>
      </c>
      <c r="F173" s="2" t="s">
        <v>2748</v>
      </c>
      <c r="G173" s="2" t="s">
        <v>133</v>
      </c>
      <c r="H173" s="3" t="s">
        <v>2725</v>
      </c>
      <c r="I173" s="197" t="s">
        <v>453</v>
      </c>
      <c r="J173" s="197" t="s">
        <v>454</v>
      </c>
      <c r="K173" s="7" t="s">
        <v>3522</v>
      </c>
      <c r="L173" s="2" t="s">
        <v>2758</v>
      </c>
      <c r="M173" s="2" t="s">
        <v>456</v>
      </c>
      <c r="N173" s="3" t="s">
        <v>457</v>
      </c>
      <c r="O173" s="197" t="s">
        <v>442</v>
      </c>
      <c r="P173" s="197" t="s">
        <v>443</v>
      </c>
      <c r="Q173" s="7" t="s">
        <v>4063</v>
      </c>
      <c r="R173" s="2" t="s">
        <v>3288</v>
      </c>
      <c r="S173" s="2" t="s">
        <v>445</v>
      </c>
      <c r="T173" s="3" t="s">
        <v>446</v>
      </c>
    </row>
    <row r="174" spans="1:20" s="507" customFormat="1" ht="12.9" customHeight="1" x14ac:dyDescent="0.2">
      <c r="A174" s="505" t="s">
        <v>2726</v>
      </c>
      <c r="B174" s="505">
        <v>21</v>
      </c>
      <c r="C174" s="197" t="s">
        <v>453</v>
      </c>
      <c r="D174" s="197" t="s">
        <v>4885</v>
      </c>
      <c r="E174" s="7" t="s">
        <v>3522</v>
      </c>
      <c r="F174" s="2" t="s">
        <v>2758</v>
      </c>
      <c r="G174" s="2" t="s">
        <v>2751</v>
      </c>
      <c r="H174" s="3" t="s">
        <v>457</v>
      </c>
      <c r="I174" s="197" t="s">
        <v>2727</v>
      </c>
      <c r="J174" s="197" t="s">
        <v>2728</v>
      </c>
      <c r="K174" s="7" t="s">
        <v>2793</v>
      </c>
      <c r="L174" s="2" t="s">
        <v>2423</v>
      </c>
      <c r="M174" s="2" t="s">
        <v>2435</v>
      </c>
      <c r="N174" s="3" t="s">
        <v>2427</v>
      </c>
      <c r="O174" s="197" t="s">
        <v>281</v>
      </c>
      <c r="P174" s="197" t="s">
        <v>2362</v>
      </c>
      <c r="Q174" s="7" t="s">
        <v>458</v>
      </c>
      <c r="R174" s="2" t="s">
        <v>1851</v>
      </c>
      <c r="S174" s="2" t="s">
        <v>1852</v>
      </c>
      <c r="T174" s="3" t="s">
        <v>758</v>
      </c>
    </row>
    <row r="175" spans="1:20" s="507" customFormat="1" ht="12.9" customHeight="1" x14ac:dyDescent="0.2">
      <c r="A175" s="505" t="s">
        <v>2372</v>
      </c>
      <c r="B175" s="505">
        <v>24</v>
      </c>
      <c r="C175" s="197" t="s">
        <v>2727</v>
      </c>
      <c r="D175" s="197" t="s">
        <v>4886</v>
      </c>
      <c r="E175" s="7" t="s">
        <v>2793</v>
      </c>
      <c r="F175" s="2" t="s">
        <v>2423</v>
      </c>
      <c r="G175" s="2" t="s">
        <v>2730</v>
      </c>
      <c r="H175" s="3" t="s">
        <v>2427</v>
      </c>
      <c r="I175" s="197" t="s">
        <v>2373</v>
      </c>
      <c r="J175" s="197" t="s">
        <v>2374</v>
      </c>
      <c r="K175" s="7" t="s">
        <v>2430</v>
      </c>
      <c r="L175" s="2" t="s">
        <v>2432</v>
      </c>
      <c r="M175" s="2" t="s">
        <v>1639</v>
      </c>
      <c r="N175" s="3" t="s">
        <v>1311</v>
      </c>
      <c r="O175" s="197" t="s">
        <v>3352</v>
      </c>
      <c r="P175" s="197" t="s">
        <v>1993</v>
      </c>
      <c r="Q175" s="7" t="s">
        <v>433</v>
      </c>
      <c r="R175" s="2" t="s">
        <v>1626</v>
      </c>
      <c r="S175" s="2" t="s">
        <v>3354</v>
      </c>
      <c r="T175" s="3" t="s">
        <v>434</v>
      </c>
    </row>
    <row r="176" spans="1:20" s="507" customFormat="1" ht="12.9" customHeight="1" x14ac:dyDescent="0.2">
      <c r="A176" s="505" t="s">
        <v>3596</v>
      </c>
      <c r="B176" s="505">
        <v>33</v>
      </c>
      <c r="C176" s="197" t="s">
        <v>3597</v>
      </c>
      <c r="D176" s="197" t="s">
        <v>3287</v>
      </c>
      <c r="E176" s="7" t="s">
        <v>159</v>
      </c>
      <c r="F176" s="2" t="s">
        <v>2421</v>
      </c>
      <c r="G176" s="2" t="s">
        <v>437</v>
      </c>
      <c r="H176" s="3" t="s">
        <v>151</v>
      </c>
      <c r="I176" s="197" t="s">
        <v>3598</v>
      </c>
      <c r="J176" s="197" t="s">
        <v>3077</v>
      </c>
      <c r="K176" s="7" t="s">
        <v>2431</v>
      </c>
      <c r="L176" s="2" t="s">
        <v>2433</v>
      </c>
      <c r="M176" s="2" t="s">
        <v>3078</v>
      </c>
      <c r="N176" s="3" t="s">
        <v>3079</v>
      </c>
      <c r="O176" s="197" t="s">
        <v>3599</v>
      </c>
      <c r="P176" s="197" t="s">
        <v>2668</v>
      </c>
      <c r="Q176" s="7" t="s">
        <v>2437</v>
      </c>
      <c r="R176" s="2" t="s">
        <v>2440</v>
      </c>
      <c r="S176" s="2" t="s">
        <v>2443</v>
      </c>
      <c r="T176" s="3" t="s">
        <v>1640</v>
      </c>
    </row>
    <row r="177" spans="1:20" s="507" customFormat="1" ht="12.9" customHeight="1" x14ac:dyDescent="0.2">
      <c r="A177" s="505" t="s">
        <v>3504</v>
      </c>
      <c r="B177" s="505">
        <v>39</v>
      </c>
      <c r="C177" s="197" t="s">
        <v>3597</v>
      </c>
      <c r="D177" s="197" t="s">
        <v>3287</v>
      </c>
      <c r="E177" s="7" t="s">
        <v>3243</v>
      </c>
      <c r="F177" s="2" t="s">
        <v>2422</v>
      </c>
      <c r="G177" s="2" t="s">
        <v>2425</v>
      </c>
      <c r="H177" s="3" t="s">
        <v>161</v>
      </c>
      <c r="I177" s="197" t="s">
        <v>3510</v>
      </c>
      <c r="J177" s="197" t="s">
        <v>3878</v>
      </c>
      <c r="K177" s="7" t="s">
        <v>2429</v>
      </c>
      <c r="L177" s="2" t="s">
        <v>2424</v>
      </c>
      <c r="M177" s="2" t="s">
        <v>2434</v>
      </c>
      <c r="N177" s="3" t="s">
        <v>2428</v>
      </c>
      <c r="O177" s="197" t="s">
        <v>3599</v>
      </c>
      <c r="P177" s="197" t="s">
        <v>2668</v>
      </c>
      <c r="Q177" s="7" t="s">
        <v>2438</v>
      </c>
      <c r="R177" s="2" t="s">
        <v>2441</v>
      </c>
      <c r="S177" s="2" t="s">
        <v>2444</v>
      </c>
      <c r="T177" s="3" t="s">
        <v>2446</v>
      </c>
    </row>
    <row r="178" spans="1:20" s="507" customFormat="1" ht="12.9" customHeight="1" x14ac:dyDescent="0.2">
      <c r="A178" s="505" t="s">
        <v>1789</v>
      </c>
      <c r="B178" s="505">
        <v>42</v>
      </c>
      <c r="C178" s="197" t="s">
        <v>3510</v>
      </c>
      <c r="D178" s="197" t="s">
        <v>4876</v>
      </c>
      <c r="E178" s="7" t="s">
        <v>4090</v>
      </c>
      <c r="F178" s="2" t="s">
        <v>2424</v>
      </c>
      <c r="G178" s="2" t="s">
        <v>2426</v>
      </c>
      <c r="H178" s="3" t="s">
        <v>2428</v>
      </c>
      <c r="I178" s="197" t="s">
        <v>1790</v>
      </c>
      <c r="J178" s="197" t="s">
        <v>2420</v>
      </c>
      <c r="K178" s="7" t="s">
        <v>4063</v>
      </c>
      <c r="L178" s="2" t="s">
        <v>811</v>
      </c>
      <c r="M178" s="2" t="s">
        <v>2436</v>
      </c>
      <c r="N178" s="3" t="s">
        <v>1303</v>
      </c>
      <c r="O178" s="197" t="s">
        <v>3599</v>
      </c>
      <c r="P178" s="197" t="s">
        <v>2668</v>
      </c>
      <c r="Q178" s="7" t="s">
        <v>2439</v>
      </c>
      <c r="R178" s="2" t="s">
        <v>2442</v>
      </c>
      <c r="S178" s="2" t="s">
        <v>2445</v>
      </c>
      <c r="T178" s="3" t="s">
        <v>2447</v>
      </c>
    </row>
    <row r="179" spans="1:20" s="507" customFormat="1" ht="12.9" customHeight="1" x14ac:dyDescent="0.2">
      <c r="A179" s="505" t="s">
        <v>1331</v>
      </c>
      <c r="B179" s="505">
        <v>41</v>
      </c>
      <c r="C179" s="197" t="s">
        <v>1790</v>
      </c>
      <c r="D179" s="197" t="s">
        <v>4877</v>
      </c>
      <c r="E179" s="7" t="s">
        <v>4063</v>
      </c>
      <c r="F179" s="2" t="s">
        <v>811</v>
      </c>
      <c r="G179" s="2" t="s">
        <v>2436</v>
      </c>
      <c r="H179" s="3" t="s">
        <v>1303</v>
      </c>
      <c r="I179" s="197" t="s">
        <v>412</v>
      </c>
      <c r="J179" s="197" t="s">
        <v>4079</v>
      </c>
      <c r="K179" s="2" t="s">
        <v>2107</v>
      </c>
      <c r="L179" s="2" t="s">
        <v>2109</v>
      </c>
      <c r="M179" s="2" t="s">
        <v>2111</v>
      </c>
      <c r="N179" s="3" t="s">
        <v>3716</v>
      </c>
      <c r="O179" s="197" t="s">
        <v>1332</v>
      </c>
      <c r="P179" s="197" t="s">
        <v>348</v>
      </c>
      <c r="Q179" s="7" t="s">
        <v>439</v>
      </c>
      <c r="R179" s="2" t="s">
        <v>1626</v>
      </c>
      <c r="S179" s="2" t="s">
        <v>3354</v>
      </c>
      <c r="T179" s="3" t="s">
        <v>434</v>
      </c>
    </row>
    <row r="180" spans="1:20" s="507" customFormat="1" ht="12.9" customHeight="1" x14ac:dyDescent="0.2">
      <c r="A180" s="505" t="s">
        <v>3994</v>
      </c>
      <c r="B180" s="505">
        <v>44</v>
      </c>
      <c r="C180" s="504" t="s">
        <v>1792</v>
      </c>
      <c r="D180" s="504" t="s">
        <v>4878</v>
      </c>
      <c r="E180" s="2" t="s">
        <v>2409</v>
      </c>
      <c r="F180" s="2" t="s">
        <v>2410</v>
      </c>
      <c r="G180" s="2" t="s">
        <v>2412</v>
      </c>
      <c r="H180" s="3" t="s">
        <v>2411</v>
      </c>
      <c r="I180" s="197" t="s">
        <v>412</v>
      </c>
      <c r="J180" s="197" t="s">
        <v>4079</v>
      </c>
      <c r="K180" s="2" t="s">
        <v>2108</v>
      </c>
      <c r="L180" s="2" t="s">
        <v>2110</v>
      </c>
      <c r="M180" s="2" t="s">
        <v>3715</v>
      </c>
      <c r="N180" s="3" t="s">
        <v>3717</v>
      </c>
      <c r="O180" s="197" t="s">
        <v>4007</v>
      </c>
      <c r="P180" s="197" t="s">
        <v>2768</v>
      </c>
      <c r="Q180" s="7" t="s">
        <v>3951</v>
      </c>
      <c r="R180" s="2" t="s">
        <v>1786</v>
      </c>
      <c r="S180" s="2" t="s">
        <v>3969</v>
      </c>
      <c r="T180" s="3" t="s">
        <v>3079</v>
      </c>
    </row>
    <row r="181" spans="1:20" s="507" customFormat="1" ht="12.9" customHeight="1" x14ac:dyDescent="0.2">
      <c r="A181" s="505" t="s">
        <v>2340</v>
      </c>
      <c r="B181" s="505">
        <v>38</v>
      </c>
      <c r="C181" s="504" t="s">
        <v>2342</v>
      </c>
      <c r="D181" s="504" t="s">
        <v>4879</v>
      </c>
      <c r="E181" s="2" t="s">
        <v>2411</v>
      </c>
      <c r="F181" s="2" t="s">
        <v>2410</v>
      </c>
      <c r="G181" s="2" t="s">
        <v>3078</v>
      </c>
      <c r="H181" s="3" t="s">
        <v>2972</v>
      </c>
      <c r="I181" s="197" t="s">
        <v>2692</v>
      </c>
      <c r="J181" s="245" t="s">
        <v>2215</v>
      </c>
      <c r="K181" s="2" t="s">
        <v>2764</v>
      </c>
      <c r="L181" s="2" t="s">
        <v>2341</v>
      </c>
      <c r="M181" s="2" t="s">
        <v>2766</v>
      </c>
      <c r="N181" s="2" t="s">
        <v>2767</v>
      </c>
      <c r="O181" s="197" t="s">
        <v>2343</v>
      </c>
      <c r="P181" s="197" t="s">
        <v>2216</v>
      </c>
      <c r="Q181" s="7" t="s">
        <v>1427</v>
      </c>
      <c r="R181" s="2" t="s">
        <v>173</v>
      </c>
      <c r="S181" s="2" t="s">
        <v>255</v>
      </c>
      <c r="T181" s="3" t="s">
        <v>252</v>
      </c>
    </row>
    <row r="182" spans="1:20" s="507" customFormat="1" ht="12.9" customHeight="1" x14ac:dyDescent="0.2">
      <c r="A182" s="505" t="s">
        <v>2284</v>
      </c>
      <c r="B182" s="505">
        <v>42</v>
      </c>
      <c r="C182" s="197" t="s">
        <v>4017</v>
      </c>
      <c r="D182" s="197" t="s">
        <v>4880</v>
      </c>
      <c r="E182" s="2" t="s">
        <v>1243</v>
      </c>
      <c r="F182" s="2" t="s">
        <v>1244</v>
      </c>
      <c r="G182" s="2" t="s">
        <v>1245</v>
      </c>
      <c r="H182" s="2" t="s">
        <v>1246</v>
      </c>
      <c r="I182" s="197" t="s">
        <v>2857</v>
      </c>
      <c r="J182" s="245" t="s">
        <v>4874</v>
      </c>
      <c r="K182" s="2" t="s">
        <v>4063</v>
      </c>
      <c r="L182" s="2" t="s">
        <v>2812</v>
      </c>
      <c r="M182" s="2" t="s">
        <v>440</v>
      </c>
      <c r="N182" s="2" t="s">
        <v>1786</v>
      </c>
      <c r="O182" s="197" t="s">
        <v>2699</v>
      </c>
      <c r="P182" s="261" t="s">
        <v>4520</v>
      </c>
      <c r="Q182" s="7" t="s">
        <v>2700</v>
      </c>
      <c r="R182" s="2" t="s">
        <v>2701</v>
      </c>
      <c r="S182" s="2" t="s">
        <v>2702</v>
      </c>
      <c r="T182" s="3" t="s">
        <v>1085</v>
      </c>
    </row>
    <row r="183" spans="1:20" s="507" customFormat="1" ht="12.9" customHeight="1" x14ac:dyDescent="0.2">
      <c r="A183" s="505" t="s">
        <v>907</v>
      </c>
      <c r="B183" s="505">
        <v>48</v>
      </c>
      <c r="C183" s="197" t="s">
        <v>944</v>
      </c>
      <c r="D183" s="197" t="s">
        <v>4875</v>
      </c>
      <c r="E183" s="2" t="s">
        <v>3568</v>
      </c>
      <c r="F183" s="2" t="s">
        <v>2693</v>
      </c>
      <c r="G183" s="2" t="s">
        <v>3841</v>
      </c>
      <c r="H183" s="2" t="s">
        <v>3265</v>
      </c>
      <c r="I183" s="197" t="s">
        <v>946</v>
      </c>
      <c r="J183" s="245" t="s">
        <v>4519</v>
      </c>
      <c r="K183" s="2" t="s">
        <v>3951</v>
      </c>
      <c r="L183" s="2" t="s">
        <v>2894</v>
      </c>
      <c r="M183" s="2" t="s">
        <v>948</v>
      </c>
      <c r="N183" s="2" t="s">
        <v>3351</v>
      </c>
      <c r="O183" s="197" t="s">
        <v>2857</v>
      </c>
      <c r="P183" s="245" t="s">
        <v>4874</v>
      </c>
      <c r="Q183" s="7" t="s">
        <v>4063</v>
      </c>
      <c r="R183" s="2" t="s">
        <v>2812</v>
      </c>
      <c r="S183" s="2" t="s">
        <v>440</v>
      </c>
      <c r="T183" s="3" t="s">
        <v>1786</v>
      </c>
    </row>
    <row r="184" spans="1:20" s="507" customFormat="1" ht="12.9" customHeight="1" x14ac:dyDescent="0.2">
      <c r="A184" s="505" t="s">
        <v>1081</v>
      </c>
      <c r="B184" s="505">
        <v>29</v>
      </c>
      <c r="C184" s="197" t="s">
        <v>944</v>
      </c>
      <c r="D184" s="197" t="s">
        <v>4875</v>
      </c>
      <c r="E184" s="2" t="s">
        <v>3568</v>
      </c>
      <c r="F184" s="2" t="s">
        <v>2693</v>
      </c>
      <c r="G184" s="2" t="s">
        <v>3841</v>
      </c>
      <c r="H184" s="2" t="s">
        <v>3265</v>
      </c>
      <c r="I184" s="197" t="s">
        <v>1083</v>
      </c>
      <c r="J184" s="245" t="s">
        <v>1084</v>
      </c>
      <c r="K184" s="2" t="s">
        <v>921</v>
      </c>
      <c r="L184" s="2" t="s">
        <v>2729</v>
      </c>
      <c r="M184" s="2" t="s">
        <v>2696</v>
      </c>
      <c r="N184" s="2" t="s">
        <v>1242</v>
      </c>
      <c r="O184" s="197" t="s">
        <v>954</v>
      </c>
      <c r="P184" s="197" t="s">
        <v>4079</v>
      </c>
      <c r="Q184" s="2" t="s">
        <v>1303</v>
      </c>
      <c r="R184" s="2" t="s">
        <v>955</v>
      </c>
      <c r="S184" s="2" t="s">
        <v>3271</v>
      </c>
      <c r="T184" s="3" t="s">
        <v>2968</v>
      </c>
    </row>
    <row r="185" spans="1:20" s="507" customFormat="1" ht="12.9" customHeight="1" x14ac:dyDescent="0.2">
      <c r="A185" s="505" t="s">
        <v>4326</v>
      </c>
      <c r="B185" s="505">
        <v>38</v>
      </c>
      <c r="C185" s="197" t="s">
        <v>2857</v>
      </c>
      <c r="D185" s="245" t="s">
        <v>4874</v>
      </c>
      <c r="E185" s="2" t="s">
        <v>4063</v>
      </c>
      <c r="F185" s="2" t="s">
        <v>2812</v>
      </c>
      <c r="G185" s="2" t="s">
        <v>440</v>
      </c>
      <c r="H185" s="2" t="s">
        <v>1786</v>
      </c>
      <c r="I185" s="197" t="s">
        <v>946</v>
      </c>
      <c r="J185" s="245" t="s">
        <v>4519</v>
      </c>
      <c r="K185" s="2" t="s">
        <v>3951</v>
      </c>
      <c r="L185" s="2" t="s">
        <v>2894</v>
      </c>
      <c r="M185" s="2" t="s">
        <v>948</v>
      </c>
      <c r="N185" s="2" t="s">
        <v>3351</v>
      </c>
      <c r="O185" s="197" t="s">
        <v>4327</v>
      </c>
      <c r="P185" s="197" t="s">
        <v>4596</v>
      </c>
      <c r="Q185" s="2" t="s">
        <v>458</v>
      </c>
      <c r="R185" s="2" t="s">
        <v>1301</v>
      </c>
      <c r="S185" s="2" t="s">
        <v>74</v>
      </c>
      <c r="T185" s="3" t="s">
        <v>4328</v>
      </c>
    </row>
    <row r="186" spans="1:20" s="507" customFormat="1" ht="12.9" customHeight="1" x14ac:dyDescent="0.2">
      <c r="A186" s="505" t="s">
        <v>4514</v>
      </c>
      <c r="B186" s="505">
        <v>31</v>
      </c>
      <c r="C186" s="197" t="s">
        <v>946</v>
      </c>
      <c r="D186" s="245" t="s">
        <v>4873</v>
      </c>
      <c r="E186" s="2" t="s">
        <v>3951</v>
      </c>
      <c r="F186" s="2" t="s">
        <v>2894</v>
      </c>
      <c r="G186" s="2" t="s">
        <v>948</v>
      </c>
      <c r="H186" s="2" t="s">
        <v>3351</v>
      </c>
      <c r="I186" s="197" t="s">
        <v>1142</v>
      </c>
      <c r="J186" s="245" t="s">
        <v>4702</v>
      </c>
      <c r="K186" s="2" t="s">
        <v>921</v>
      </c>
      <c r="L186" s="2" t="s">
        <v>1244</v>
      </c>
      <c r="M186" s="2" t="s">
        <v>1245</v>
      </c>
      <c r="N186" s="2" t="s">
        <v>3984</v>
      </c>
      <c r="O186" s="197" t="s">
        <v>4515</v>
      </c>
      <c r="P186" s="197" t="s">
        <v>4887</v>
      </c>
      <c r="Q186" s="2" t="s">
        <v>4331</v>
      </c>
      <c r="R186" s="2" t="s">
        <v>811</v>
      </c>
      <c r="S186" s="2" t="s">
        <v>2696</v>
      </c>
      <c r="T186" s="3" t="s">
        <v>4516</v>
      </c>
    </row>
    <row r="187" spans="1:20" s="507" customFormat="1" ht="12.9" customHeight="1" x14ac:dyDescent="0.2">
      <c r="A187" s="505" t="s">
        <v>4638</v>
      </c>
      <c r="B187" s="505">
        <v>36</v>
      </c>
      <c r="C187" s="197" t="s">
        <v>1142</v>
      </c>
      <c r="D187" s="245" t="s">
        <v>4872</v>
      </c>
      <c r="E187" s="2" t="s">
        <v>921</v>
      </c>
      <c r="F187" s="2" t="s">
        <v>1244</v>
      </c>
      <c r="G187" s="2" t="s">
        <v>1245</v>
      </c>
      <c r="H187" s="2" t="s">
        <v>924</v>
      </c>
      <c r="I187" s="197" t="s">
        <v>4465</v>
      </c>
      <c r="J187" s="245" t="s">
        <v>593</v>
      </c>
      <c r="K187" s="2" t="s">
        <v>4517</v>
      </c>
      <c r="L187" s="2" t="s">
        <v>4334</v>
      </c>
      <c r="M187" s="2" t="s">
        <v>4335</v>
      </c>
      <c r="N187" s="2" t="s">
        <v>4336</v>
      </c>
      <c r="O187" s="197" t="s">
        <v>4515</v>
      </c>
      <c r="P187" s="197" t="s">
        <v>4887</v>
      </c>
      <c r="Q187" s="2" t="s">
        <v>4331</v>
      </c>
      <c r="R187" s="2" t="s">
        <v>811</v>
      </c>
      <c r="S187" s="2" t="s">
        <v>2696</v>
      </c>
      <c r="T187" s="3" t="s">
        <v>4516</v>
      </c>
    </row>
    <row r="188" spans="1:20" s="507" customFormat="1" ht="12.9" customHeight="1" x14ac:dyDescent="0.2">
      <c r="A188" s="505" t="s">
        <v>4767</v>
      </c>
      <c r="B188" s="505">
        <v>34</v>
      </c>
      <c r="C188" s="197" t="s">
        <v>1142</v>
      </c>
      <c r="D188" s="245" t="s">
        <v>4871</v>
      </c>
      <c r="E188" s="2" t="s">
        <v>921</v>
      </c>
      <c r="F188" s="2" t="s">
        <v>1244</v>
      </c>
      <c r="G188" s="2" t="s">
        <v>1245</v>
      </c>
      <c r="H188" s="2" t="s">
        <v>924</v>
      </c>
      <c r="I188" s="197" t="s">
        <v>4515</v>
      </c>
      <c r="J188" s="197" t="s">
        <v>4887</v>
      </c>
      <c r="K188" s="2" t="s">
        <v>4331</v>
      </c>
      <c r="L188" s="2" t="s">
        <v>811</v>
      </c>
      <c r="M188" s="2" t="s">
        <v>2696</v>
      </c>
      <c r="N188" s="3" t="s">
        <v>4516</v>
      </c>
      <c r="O188" s="197" t="s">
        <v>4659</v>
      </c>
      <c r="P188" s="245" t="s">
        <v>4870</v>
      </c>
      <c r="Q188" s="2" t="s">
        <v>4660</v>
      </c>
      <c r="R188" s="2" t="s">
        <v>4339</v>
      </c>
      <c r="S188" s="2" t="s">
        <v>2144</v>
      </c>
      <c r="T188" s="2" t="s">
        <v>4661</v>
      </c>
    </row>
    <row r="189" spans="1:20" s="507" customFormat="1" ht="12.9" customHeight="1" x14ac:dyDescent="0.2">
      <c r="A189" s="496"/>
      <c r="B189" s="496"/>
      <c r="C189" s="198"/>
      <c r="D189" s="198"/>
      <c r="E189" s="9"/>
      <c r="F189" s="4"/>
      <c r="G189" s="4"/>
      <c r="H189" s="5"/>
      <c r="I189" s="198"/>
      <c r="J189" s="198"/>
      <c r="K189" s="9"/>
      <c r="L189" s="4"/>
      <c r="M189" s="4"/>
      <c r="N189" s="5"/>
      <c r="O189" s="198"/>
      <c r="P189" s="198"/>
      <c r="Q189" s="9"/>
      <c r="R189" s="4"/>
      <c r="S189" s="4"/>
      <c r="T189" s="5"/>
    </row>
    <row r="190" spans="1:20" s="507" customFormat="1" ht="12.9" customHeight="1" x14ac:dyDescent="0.2">
      <c r="A190" s="4"/>
      <c r="B190" s="4"/>
      <c r="C190" s="498"/>
      <c r="D190" s="498"/>
      <c r="E190" s="4"/>
      <c r="F190" s="4"/>
      <c r="G190" s="4"/>
      <c r="H190" s="4"/>
      <c r="I190" s="498"/>
      <c r="J190" s="498"/>
      <c r="K190" s="4"/>
      <c r="L190" s="4"/>
      <c r="M190" s="4"/>
      <c r="N190" s="4"/>
      <c r="O190" s="498"/>
      <c r="P190" s="498"/>
      <c r="Q190" s="4"/>
      <c r="R190" s="4"/>
      <c r="S190" s="4"/>
      <c r="T190" s="4"/>
    </row>
    <row r="191" spans="1:20" ht="15.6" x14ac:dyDescent="0.3">
      <c r="A191" s="672" t="s">
        <v>1854</v>
      </c>
      <c r="B191" s="673"/>
      <c r="C191" s="673"/>
      <c r="D191" s="673"/>
      <c r="E191" s="673"/>
      <c r="F191" s="673"/>
      <c r="G191" s="673"/>
      <c r="H191" s="673"/>
      <c r="I191" s="673"/>
      <c r="J191" s="673"/>
      <c r="K191" s="673"/>
      <c r="L191" s="673"/>
      <c r="M191" s="673"/>
      <c r="N191" s="673"/>
      <c r="O191" s="673"/>
      <c r="P191" s="673"/>
      <c r="Q191" s="673"/>
      <c r="R191" s="673"/>
      <c r="S191" s="673"/>
      <c r="T191" s="674"/>
    </row>
    <row r="192" spans="1:20" ht="12.9" customHeight="1" x14ac:dyDescent="0.2">
      <c r="A192" s="519" t="s">
        <v>2012</v>
      </c>
      <c r="B192" s="520"/>
      <c r="C192" s="668" t="s">
        <v>271</v>
      </c>
      <c r="D192" s="669"/>
      <c r="E192" s="669"/>
      <c r="F192" s="669"/>
      <c r="G192" s="669"/>
      <c r="H192" s="670"/>
      <c r="I192" s="668" t="s">
        <v>272</v>
      </c>
      <c r="J192" s="669"/>
      <c r="K192" s="669"/>
      <c r="L192" s="669"/>
      <c r="M192" s="669"/>
      <c r="N192" s="670"/>
      <c r="O192" s="668" t="s">
        <v>273</v>
      </c>
      <c r="P192" s="669"/>
      <c r="Q192" s="669"/>
      <c r="R192" s="669"/>
      <c r="S192" s="669"/>
      <c r="T192" s="670"/>
    </row>
    <row r="193" spans="1:20" ht="12.9" customHeight="1" x14ac:dyDescent="0.2">
      <c r="A193" s="496"/>
      <c r="B193" s="9"/>
      <c r="C193" s="521" t="s">
        <v>1855</v>
      </c>
      <c r="D193" s="498"/>
      <c r="E193" s="4" t="s">
        <v>2017</v>
      </c>
      <c r="F193" s="4" t="s">
        <v>2018</v>
      </c>
      <c r="G193" s="4" t="s">
        <v>2019</v>
      </c>
      <c r="H193" s="5" t="s">
        <v>2020</v>
      </c>
      <c r="I193" s="497"/>
      <c r="J193" s="498"/>
      <c r="K193" s="4" t="s">
        <v>2017</v>
      </c>
      <c r="L193" s="4" t="s">
        <v>2018</v>
      </c>
      <c r="M193" s="4" t="s">
        <v>2019</v>
      </c>
      <c r="N193" s="5" t="s">
        <v>2020</v>
      </c>
      <c r="O193" s="497"/>
      <c r="P193" s="498"/>
      <c r="Q193" s="4" t="s">
        <v>2017</v>
      </c>
      <c r="R193" s="4" t="s">
        <v>2018</v>
      </c>
      <c r="S193" s="4" t="s">
        <v>2019</v>
      </c>
      <c r="T193" s="5" t="s">
        <v>2020</v>
      </c>
    </row>
    <row r="194" spans="1:20" ht="12.9" customHeight="1" x14ac:dyDescent="0.2">
      <c r="A194" s="517" t="s">
        <v>1856</v>
      </c>
      <c r="B194" s="517">
        <v>5</v>
      </c>
      <c r="C194" s="499" t="s">
        <v>515</v>
      </c>
      <c r="D194" s="499" t="s">
        <v>2029</v>
      </c>
      <c r="E194" s="518" t="s">
        <v>1857</v>
      </c>
      <c r="F194" s="417" t="s">
        <v>593</v>
      </c>
      <c r="G194" s="417" t="s">
        <v>594</v>
      </c>
      <c r="H194" s="404" t="s">
        <v>1858</v>
      </c>
      <c r="I194" s="499" t="s">
        <v>1859</v>
      </c>
      <c r="J194" s="499" t="s">
        <v>1860</v>
      </c>
      <c r="K194" s="518" t="s">
        <v>1861</v>
      </c>
      <c r="L194" s="417" t="s">
        <v>1862</v>
      </c>
      <c r="M194" s="417" t="s">
        <v>1863</v>
      </c>
      <c r="N194" s="404" t="s">
        <v>1864</v>
      </c>
      <c r="O194" s="499" t="s">
        <v>1865</v>
      </c>
      <c r="P194" s="499" t="s">
        <v>2041</v>
      </c>
      <c r="Q194" s="518" t="s">
        <v>2036</v>
      </c>
      <c r="R194" s="417" t="s">
        <v>1866</v>
      </c>
      <c r="S194" s="417" t="s">
        <v>207</v>
      </c>
      <c r="T194" s="404" t="s">
        <v>208</v>
      </c>
    </row>
    <row r="195" spans="1:20" ht="12.9" customHeight="1" x14ac:dyDescent="0.2">
      <c r="A195" s="505" t="s">
        <v>209</v>
      </c>
      <c r="B195" s="505">
        <v>2</v>
      </c>
      <c r="C195" s="197" t="s">
        <v>210</v>
      </c>
      <c r="D195" s="197" t="s">
        <v>211</v>
      </c>
      <c r="E195" s="7" t="s">
        <v>2738</v>
      </c>
      <c r="F195" s="2" t="s">
        <v>212</v>
      </c>
      <c r="G195" s="2" t="s">
        <v>213</v>
      </c>
      <c r="H195" s="3" t="s">
        <v>214</v>
      </c>
      <c r="I195" s="197" t="s">
        <v>215</v>
      </c>
      <c r="J195" s="197" t="s">
        <v>579</v>
      </c>
      <c r="K195" s="7" t="s">
        <v>216</v>
      </c>
      <c r="L195" s="2" t="s">
        <v>217</v>
      </c>
      <c r="M195" s="2" t="s">
        <v>282</v>
      </c>
      <c r="N195" s="3" t="s">
        <v>2707</v>
      </c>
      <c r="O195" s="197" t="s">
        <v>3215</v>
      </c>
      <c r="P195" s="197" t="s">
        <v>3215</v>
      </c>
      <c r="Q195" s="7" t="s">
        <v>3215</v>
      </c>
      <c r="R195" s="2" t="s">
        <v>3215</v>
      </c>
      <c r="S195" s="2" t="s">
        <v>3215</v>
      </c>
      <c r="T195" s="3" t="s">
        <v>3215</v>
      </c>
    </row>
    <row r="196" spans="1:20" ht="12.9" customHeight="1" x14ac:dyDescent="0.2">
      <c r="A196" s="505" t="s">
        <v>2708</v>
      </c>
      <c r="B196" s="505">
        <v>4</v>
      </c>
      <c r="C196" s="197" t="s">
        <v>2709</v>
      </c>
      <c r="D196" s="197" t="s">
        <v>2710</v>
      </c>
      <c r="E196" s="7" t="s">
        <v>2711</v>
      </c>
      <c r="F196" s="2" t="s">
        <v>1866</v>
      </c>
      <c r="G196" s="2" t="s">
        <v>207</v>
      </c>
      <c r="H196" s="3" t="s">
        <v>2712</v>
      </c>
      <c r="I196" s="197" t="s">
        <v>2713</v>
      </c>
      <c r="J196" s="197" t="s">
        <v>2714</v>
      </c>
      <c r="K196" s="7" t="s">
        <v>2715</v>
      </c>
      <c r="L196" s="2" t="s">
        <v>2716</v>
      </c>
      <c r="M196" s="2" t="s">
        <v>286</v>
      </c>
      <c r="N196" s="3" t="s">
        <v>287</v>
      </c>
      <c r="O196" s="197" t="s">
        <v>288</v>
      </c>
      <c r="P196" s="197" t="s">
        <v>4041</v>
      </c>
      <c r="Q196" s="7" t="s">
        <v>289</v>
      </c>
      <c r="R196" s="2" t="s">
        <v>290</v>
      </c>
      <c r="S196" s="2" t="s">
        <v>4058</v>
      </c>
      <c r="T196" s="3" t="s">
        <v>291</v>
      </c>
    </row>
    <row r="197" spans="1:20" ht="12.9" customHeight="1" x14ac:dyDescent="0.2">
      <c r="A197" s="505" t="s">
        <v>275</v>
      </c>
      <c r="B197" s="505">
        <v>3</v>
      </c>
      <c r="C197" s="197" t="s">
        <v>292</v>
      </c>
      <c r="D197" s="197" t="s">
        <v>2029</v>
      </c>
      <c r="E197" s="7" t="s">
        <v>597</v>
      </c>
      <c r="F197" s="2" t="s">
        <v>2025</v>
      </c>
      <c r="G197" s="2" t="s">
        <v>658</v>
      </c>
      <c r="H197" s="3" t="s">
        <v>514</v>
      </c>
      <c r="I197" s="197" t="s">
        <v>293</v>
      </c>
      <c r="J197" s="197" t="s">
        <v>2363</v>
      </c>
      <c r="K197" s="7" t="s">
        <v>294</v>
      </c>
      <c r="L197" s="2" t="s">
        <v>295</v>
      </c>
      <c r="M197" s="2" t="s">
        <v>296</v>
      </c>
      <c r="N197" s="3" t="s">
        <v>297</v>
      </c>
      <c r="O197" s="197" t="s">
        <v>699</v>
      </c>
      <c r="P197" s="197" t="s">
        <v>700</v>
      </c>
      <c r="Q197" s="7" t="s">
        <v>3919</v>
      </c>
      <c r="R197" s="2" t="s">
        <v>2973</v>
      </c>
      <c r="S197" s="2" t="s">
        <v>3921</v>
      </c>
      <c r="T197" s="3" t="s">
        <v>3920</v>
      </c>
    </row>
    <row r="198" spans="1:20" ht="12.9" customHeight="1" x14ac:dyDescent="0.2">
      <c r="A198" s="505" t="s">
        <v>1963</v>
      </c>
      <c r="B198" s="505">
        <v>4</v>
      </c>
      <c r="C198" s="197" t="s">
        <v>293</v>
      </c>
      <c r="D198" s="197" t="s">
        <v>579</v>
      </c>
      <c r="E198" s="7" t="s">
        <v>299</v>
      </c>
      <c r="F198" s="2" t="s">
        <v>295</v>
      </c>
      <c r="G198" s="2" t="s">
        <v>296</v>
      </c>
      <c r="H198" s="3" t="s">
        <v>297</v>
      </c>
      <c r="I198" s="197" t="s">
        <v>300</v>
      </c>
      <c r="J198" s="197" t="s">
        <v>1860</v>
      </c>
      <c r="K198" s="7" t="s">
        <v>1862</v>
      </c>
      <c r="L198" s="2" t="s">
        <v>301</v>
      </c>
      <c r="M198" s="2" t="s">
        <v>302</v>
      </c>
      <c r="N198" s="3" t="s">
        <v>303</v>
      </c>
      <c r="O198" s="197" t="s">
        <v>2713</v>
      </c>
      <c r="P198" s="197" t="s">
        <v>2714</v>
      </c>
      <c r="Q198" s="7" t="s">
        <v>2715</v>
      </c>
      <c r="R198" s="2" t="s">
        <v>2716</v>
      </c>
      <c r="S198" s="2" t="s">
        <v>286</v>
      </c>
      <c r="T198" s="3" t="s">
        <v>287</v>
      </c>
    </row>
    <row r="199" spans="1:20" ht="12.9" customHeight="1" x14ac:dyDescent="0.2">
      <c r="A199" s="505" t="s">
        <v>1966</v>
      </c>
      <c r="B199" s="505">
        <v>2</v>
      </c>
      <c r="C199" s="197" t="s">
        <v>304</v>
      </c>
      <c r="D199" s="197" t="s">
        <v>2710</v>
      </c>
      <c r="E199" s="7" t="s">
        <v>305</v>
      </c>
      <c r="F199" s="2" t="s">
        <v>3633</v>
      </c>
      <c r="G199" s="2" t="s">
        <v>208</v>
      </c>
      <c r="H199" s="3" t="s">
        <v>2462</v>
      </c>
      <c r="I199" s="197" t="s">
        <v>3634</v>
      </c>
      <c r="J199" s="197" t="s">
        <v>3635</v>
      </c>
      <c r="K199" s="7" t="s">
        <v>3636</v>
      </c>
      <c r="L199" s="2" t="s">
        <v>3637</v>
      </c>
      <c r="M199" s="2" t="s">
        <v>3638</v>
      </c>
      <c r="N199" s="3" t="s">
        <v>3639</v>
      </c>
      <c r="O199" s="197" t="s">
        <v>3215</v>
      </c>
      <c r="P199" s="197" t="s">
        <v>3215</v>
      </c>
      <c r="Q199" s="7" t="s">
        <v>3215</v>
      </c>
      <c r="R199" s="2" t="s">
        <v>3215</v>
      </c>
      <c r="S199" s="2" t="s">
        <v>3215</v>
      </c>
      <c r="T199" s="3" t="s">
        <v>3215</v>
      </c>
    </row>
    <row r="200" spans="1:20" ht="12.9" customHeight="1" x14ac:dyDescent="0.2">
      <c r="A200" s="505" t="s">
        <v>1972</v>
      </c>
      <c r="B200" s="505">
        <v>3</v>
      </c>
      <c r="C200" s="197" t="s">
        <v>2732</v>
      </c>
      <c r="D200" s="197" t="s">
        <v>2733</v>
      </c>
      <c r="E200" s="7" t="s">
        <v>3527</v>
      </c>
      <c r="F200" s="2" t="s">
        <v>2734</v>
      </c>
      <c r="G200" s="2" t="s">
        <v>2735</v>
      </c>
      <c r="H200" s="3" t="s">
        <v>2736</v>
      </c>
      <c r="I200" s="197" t="s">
        <v>2737</v>
      </c>
      <c r="J200" s="197" t="s">
        <v>2146</v>
      </c>
      <c r="K200" s="7" t="s">
        <v>2738</v>
      </c>
      <c r="L200" s="2" t="s">
        <v>2739</v>
      </c>
      <c r="M200" s="2" t="s">
        <v>2740</v>
      </c>
      <c r="N200" s="3" t="s">
        <v>0</v>
      </c>
      <c r="O200" s="197" t="s">
        <v>1</v>
      </c>
      <c r="P200" s="197" t="s">
        <v>2146</v>
      </c>
      <c r="Q200" s="7" t="s">
        <v>2</v>
      </c>
      <c r="R200" s="2" t="s">
        <v>2635</v>
      </c>
      <c r="S200" s="2" t="s">
        <v>2636</v>
      </c>
      <c r="T200" s="3" t="s">
        <v>2637</v>
      </c>
    </row>
    <row r="201" spans="1:20" ht="12.9" customHeight="1" x14ac:dyDescent="0.2">
      <c r="A201" s="505" t="s">
        <v>2142</v>
      </c>
      <c r="B201" s="505">
        <v>2</v>
      </c>
      <c r="C201" s="197" t="s">
        <v>2638</v>
      </c>
      <c r="D201" s="197" t="s">
        <v>2639</v>
      </c>
      <c r="E201" s="7" t="s">
        <v>2640</v>
      </c>
      <c r="F201" s="2" t="s">
        <v>2641</v>
      </c>
      <c r="G201" s="2" t="s">
        <v>2642</v>
      </c>
      <c r="H201" s="3" t="s">
        <v>2643</v>
      </c>
      <c r="I201" s="197" t="s">
        <v>2644</v>
      </c>
      <c r="J201" s="197" t="s">
        <v>3526</v>
      </c>
      <c r="K201" s="7" t="s">
        <v>2645</v>
      </c>
      <c r="L201" s="2" t="s">
        <v>2646</v>
      </c>
      <c r="M201" s="2" t="s">
        <v>2647</v>
      </c>
      <c r="N201" s="3" t="s">
        <v>2648</v>
      </c>
      <c r="O201" s="197" t="s">
        <v>3215</v>
      </c>
      <c r="P201" s="197" t="s">
        <v>3215</v>
      </c>
      <c r="Q201" s="7" t="s">
        <v>3215</v>
      </c>
      <c r="R201" s="2" t="s">
        <v>3215</v>
      </c>
      <c r="S201" s="2" t="s">
        <v>3215</v>
      </c>
      <c r="T201" s="3" t="s">
        <v>3215</v>
      </c>
    </row>
    <row r="202" spans="1:20" ht="12.9" customHeight="1" x14ac:dyDescent="0.2">
      <c r="A202" s="505" t="s">
        <v>2143</v>
      </c>
      <c r="B202" s="505">
        <v>3</v>
      </c>
      <c r="C202" s="197" t="s">
        <v>2649</v>
      </c>
      <c r="D202" s="197" t="s">
        <v>2650</v>
      </c>
      <c r="E202" s="10" t="s">
        <v>2651</v>
      </c>
      <c r="F202" s="8" t="s">
        <v>585</v>
      </c>
      <c r="G202" s="8" t="s">
        <v>2652</v>
      </c>
      <c r="H202" s="6" t="s">
        <v>2653</v>
      </c>
      <c r="I202" s="197" t="s">
        <v>2737</v>
      </c>
      <c r="J202" s="197" t="s">
        <v>1636</v>
      </c>
      <c r="K202" s="7" t="s">
        <v>2654</v>
      </c>
      <c r="L202" s="2" t="s">
        <v>2655</v>
      </c>
      <c r="M202" s="2" t="s">
        <v>2656</v>
      </c>
      <c r="N202" s="3" t="s">
        <v>2657</v>
      </c>
      <c r="O202" s="197" t="s">
        <v>2644</v>
      </c>
      <c r="P202" s="197" t="s">
        <v>3526</v>
      </c>
      <c r="Q202" s="7" t="s">
        <v>2645</v>
      </c>
      <c r="R202" s="2" t="s">
        <v>2646</v>
      </c>
      <c r="S202" s="2" t="s">
        <v>2647</v>
      </c>
      <c r="T202" s="3" t="s">
        <v>2648</v>
      </c>
    </row>
    <row r="203" spans="1:20" ht="12.9" customHeight="1" x14ac:dyDescent="0.2">
      <c r="A203" s="505" t="s">
        <v>3655</v>
      </c>
      <c r="B203" s="505">
        <v>1</v>
      </c>
      <c r="C203" s="197" t="s">
        <v>2644</v>
      </c>
      <c r="D203" s="197" t="s">
        <v>3526</v>
      </c>
      <c r="E203" s="7" t="s">
        <v>2645</v>
      </c>
      <c r="F203" s="2" t="s">
        <v>2646</v>
      </c>
      <c r="G203" s="2" t="s">
        <v>2647</v>
      </c>
      <c r="H203" s="3" t="s">
        <v>2648</v>
      </c>
      <c r="I203" s="197" t="s">
        <v>3215</v>
      </c>
      <c r="J203" s="197" t="s">
        <v>3215</v>
      </c>
      <c r="K203" s="7" t="s">
        <v>3215</v>
      </c>
      <c r="L203" s="2" t="s">
        <v>3215</v>
      </c>
      <c r="M203" s="2" t="s">
        <v>3215</v>
      </c>
      <c r="N203" s="3" t="s">
        <v>3215</v>
      </c>
      <c r="O203" s="197" t="s">
        <v>3215</v>
      </c>
      <c r="P203" s="197" t="s">
        <v>3215</v>
      </c>
      <c r="Q203" s="7" t="s">
        <v>3215</v>
      </c>
      <c r="R203" s="2" t="s">
        <v>3215</v>
      </c>
      <c r="S203" s="2" t="s">
        <v>3215</v>
      </c>
      <c r="T203" s="3" t="s">
        <v>3215</v>
      </c>
    </row>
    <row r="204" spans="1:20" ht="12.9" customHeight="1" x14ac:dyDescent="0.2">
      <c r="A204" s="505" t="s">
        <v>198</v>
      </c>
      <c r="B204" s="505">
        <v>3</v>
      </c>
      <c r="C204" s="197" t="s">
        <v>2737</v>
      </c>
      <c r="D204" s="197" t="s">
        <v>2146</v>
      </c>
      <c r="E204" s="7" t="s">
        <v>2654</v>
      </c>
      <c r="F204" s="2" t="s">
        <v>2658</v>
      </c>
      <c r="G204" s="2" t="s">
        <v>2659</v>
      </c>
      <c r="H204" s="3" t="s">
        <v>2660</v>
      </c>
      <c r="I204" s="197" t="s">
        <v>2661</v>
      </c>
      <c r="J204" s="197" t="s">
        <v>2662</v>
      </c>
      <c r="K204" s="7" t="s">
        <v>2663</v>
      </c>
      <c r="L204" s="2" t="s">
        <v>2664</v>
      </c>
      <c r="M204" s="2" t="s">
        <v>2665</v>
      </c>
      <c r="N204" s="3" t="s">
        <v>2666</v>
      </c>
      <c r="O204" s="197" t="s">
        <v>2667</v>
      </c>
      <c r="P204" s="197" t="s">
        <v>2668</v>
      </c>
      <c r="Q204" s="7" t="s">
        <v>2669</v>
      </c>
      <c r="R204" s="2" t="s">
        <v>2670</v>
      </c>
      <c r="S204" s="2" t="s">
        <v>2671</v>
      </c>
      <c r="T204" s="3" t="s">
        <v>2672</v>
      </c>
    </row>
    <row r="205" spans="1:20" ht="12.9" customHeight="1" x14ac:dyDescent="0.2">
      <c r="A205" s="505" t="s">
        <v>4089</v>
      </c>
      <c r="B205" s="505">
        <v>3</v>
      </c>
      <c r="C205" s="197" t="s">
        <v>2673</v>
      </c>
      <c r="D205" s="197" t="s">
        <v>2668</v>
      </c>
      <c r="E205" s="7" t="s">
        <v>3363</v>
      </c>
      <c r="F205" s="2" t="s">
        <v>3364</v>
      </c>
      <c r="G205" s="2" t="s">
        <v>2674</v>
      </c>
      <c r="H205" s="3" t="s">
        <v>2675</v>
      </c>
      <c r="I205" s="197" t="s">
        <v>2676</v>
      </c>
      <c r="J205" s="197" t="s">
        <v>579</v>
      </c>
      <c r="K205" s="7" t="s">
        <v>2677</v>
      </c>
      <c r="L205" s="2" t="s">
        <v>2678</v>
      </c>
      <c r="M205" s="2" t="s">
        <v>2679</v>
      </c>
      <c r="N205" s="3" t="s">
        <v>2680</v>
      </c>
      <c r="O205" s="197" t="s">
        <v>2681</v>
      </c>
      <c r="P205" s="199" t="s">
        <v>2662</v>
      </c>
      <c r="Q205" s="7" t="s">
        <v>592</v>
      </c>
      <c r="R205" s="2" t="s">
        <v>2664</v>
      </c>
      <c r="S205" s="2" t="s">
        <v>2682</v>
      </c>
      <c r="T205" s="6" t="s">
        <v>2683</v>
      </c>
    </row>
    <row r="206" spans="1:20" ht="12.9" customHeight="1" x14ac:dyDescent="0.2">
      <c r="A206" s="505" t="s">
        <v>4091</v>
      </c>
      <c r="B206" s="505">
        <v>3</v>
      </c>
      <c r="C206" s="197" t="s">
        <v>2681</v>
      </c>
      <c r="D206" s="199" t="s">
        <v>2662</v>
      </c>
      <c r="E206" s="7" t="s">
        <v>2684</v>
      </c>
      <c r="F206" s="2" t="s">
        <v>2664</v>
      </c>
      <c r="G206" s="2" t="s">
        <v>2682</v>
      </c>
      <c r="H206" s="6" t="s">
        <v>2683</v>
      </c>
      <c r="I206" s="197" t="s">
        <v>2685</v>
      </c>
      <c r="J206" s="199" t="s">
        <v>2662</v>
      </c>
      <c r="K206" s="10" t="s">
        <v>2686</v>
      </c>
      <c r="L206" s="2" t="s">
        <v>2687</v>
      </c>
      <c r="M206" s="8" t="s">
        <v>2688</v>
      </c>
      <c r="N206" s="3" t="s">
        <v>2689</v>
      </c>
      <c r="O206" s="197" t="s">
        <v>2690</v>
      </c>
      <c r="P206" s="197" t="s">
        <v>2691</v>
      </c>
      <c r="Q206" s="7" t="s">
        <v>2344</v>
      </c>
      <c r="R206" s="2" t="s">
        <v>2345</v>
      </c>
      <c r="S206" s="2" t="s">
        <v>2346</v>
      </c>
      <c r="T206" s="3" t="s">
        <v>2347</v>
      </c>
    </row>
    <row r="207" spans="1:20" ht="12.9" customHeight="1" x14ac:dyDescent="0.2">
      <c r="A207" s="505" t="s">
        <v>2724</v>
      </c>
      <c r="B207" s="505">
        <v>7</v>
      </c>
      <c r="C207" s="197" t="s">
        <v>2348</v>
      </c>
      <c r="D207" s="199" t="s">
        <v>148</v>
      </c>
      <c r="E207" s="10" t="s">
        <v>2349</v>
      </c>
      <c r="F207" s="8" t="s">
        <v>2350</v>
      </c>
      <c r="G207" s="8" t="s">
        <v>2351</v>
      </c>
      <c r="H207" s="8" t="s">
        <v>2536</v>
      </c>
      <c r="I207" s="197" t="s">
        <v>2676</v>
      </c>
      <c r="J207" s="197" t="s">
        <v>579</v>
      </c>
      <c r="K207" s="7" t="s">
        <v>2352</v>
      </c>
      <c r="L207" s="2" t="s">
        <v>2353</v>
      </c>
      <c r="M207" s="2" t="s">
        <v>2354</v>
      </c>
      <c r="N207" s="3" t="s">
        <v>2355</v>
      </c>
      <c r="O207" s="197" t="s">
        <v>2356</v>
      </c>
      <c r="P207" s="199" t="s">
        <v>2668</v>
      </c>
      <c r="Q207" s="10" t="s">
        <v>2357</v>
      </c>
      <c r="R207" s="8" t="s">
        <v>2358</v>
      </c>
      <c r="S207" s="8" t="s">
        <v>2359</v>
      </c>
      <c r="T207" s="6" t="s">
        <v>2360</v>
      </c>
    </row>
    <row r="208" spans="1:20" ht="12.9" customHeight="1" x14ac:dyDescent="0.2">
      <c r="A208" s="505" t="s">
        <v>2726</v>
      </c>
      <c r="B208" s="505">
        <v>1</v>
      </c>
      <c r="C208" s="197" t="s">
        <v>2367</v>
      </c>
      <c r="D208" s="197" t="s">
        <v>2368</v>
      </c>
      <c r="E208" s="7" t="s">
        <v>289</v>
      </c>
      <c r="F208" s="2" t="s">
        <v>2369</v>
      </c>
      <c r="G208" s="2" t="s">
        <v>2370</v>
      </c>
      <c r="H208" s="3" t="s">
        <v>2371</v>
      </c>
      <c r="I208" s="197" t="s">
        <v>3215</v>
      </c>
      <c r="J208" s="197" t="s">
        <v>3215</v>
      </c>
      <c r="K208" s="7" t="s">
        <v>3215</v>
      </c>
      <c r="L208" s="2" t="s">
        <v>3215</v>
      </c>
      <c r="M208" s="2" t="s">
        <v>3215</v>
      </c>
      <c r="N208" s="3" t="s">
        <v>3215</v>
      </c>
      <c r="O208" s="197" t="s">
        <v>3215</v>
      </c>
      <c r="P208" s="197" t="s">
        <v>3215</v>
      </c>
      <c r="Q208" s="7" t="s">
        <v>3215</v>
      </c>
      <c r="R208" s="2" t="s">
        <v>3215</v>
      </c>
      <c r="S208" s="2" t="s">
        <v>3215</v>
      </c>
      <c r="T208" s="3" t="s">
        <v>3215</v>
      </c>
    </row>
    <row r="209" spans="1:20" ht="12.9" customHeight="1" x14ac:dyDescent="0.2">
      <c r="A209" s="505" t="s">
        <v>2372</v>
      </c>
      <c r="B209" s="3">
        <v>3</v>
      </c>
      <c r="C209" s="197" t="s">
        <v>3355</v>
      </c>
      <c r="D209" s="197" t="s">
        <v>2668</v>
      </c>
      <c r="E209" s="2" t="s">
        <v>3365</v>
      </c>
      <c r="F209" s="2" t="s">
        <v>3366</v>
      </c>
      <c r="G209" s="2" t="s">
        <v>3367</v>
      </c>
      <c r="H209" s="3" t="s">
        <v>3368</v>
      </c>
      <c r="I209" s="197" t="s">
        <v>3356</v>
      </c>
      <c r="J209" s="197" t="s">
        <v>3357</v>
      </c>
      <c r="K209" s="7" t="s">
        <v>3358</v>
      </c>
      <c r="L209" s="2" t="s">
        <v>3359</v>
      </c>
      <c r="M209" s="2" t="s">
        <v>3360</v>
      </c>
      <c r="N209" s="3" t="s">
        <v>3361</v>
      </c>
      <c r="O209" s="197" t="s">
        <v>3362</v>
      </c>
      <c r="P209" s="197" t="s">
        <v>2668</v>
      </c>
      <c r="Q209" s="2" t="s">
        <v>3369</v>
      </c>
      <c r="R209" s="2" t="s">
        <v>3370</v>
      </c>
      <c r="S209" s="2" t="s">
        <v>3371</v>
      </c>
      <c r="T209" s="3" t="s">
        <v>3372</v>
      </c>
    </row>
    <row r="210" spans="1:20" ht="12.9" customHeight="1" x14ac:dyDescent="0.2">
      <c r="A210" s="505" t="s">
        <v>3596</v>
      </c>
      <c r="B210" s="3">
        <v>1</v>
      </c>
      <c r="C210" s="197" t="s">
        <v>3082</v>
      </c>
      <c r="D210" s="197" t="s">
        <v>407</v>
      </c>
      <c r="E210" s="2" t="s">
        <v>3527</v>
      </c>
      <c r="F210" s="2" t="s">
        <v>3557</v>
      </c>
      <c r="G210" s="2" t="s">
        <v>3083</v>
      </c>
      <c r="H210" s="3" t="s">
        <v>220</v>
      </c>
      <c r="I210" s="197" t="s">
        <v>3215</v>
      </c>
      <c r="J210" s="197" t="s">
        <v>3215</v>
      </c>
      <c r="K210" s="7" t="s">
        <v>3215</v>
      </c>
      <c r="L210" s="2" t="s">
        <v>3215</v>
      </c>
      <c r="M210" s="2" t="s">
        <v>3215</v>
      </c>
      <c r="N210" s="3" t="s">
        <v>3215</v>
      </c>
      <c r="O210" s="197" t="s">
        <v>3215</v>
      </c>
      <c r="P210" s="197" t="s">
        <v>3215</v>
      </c>
      <c r="Q210" s="7" t="s">
        <v>3215</v>
      </c>
      <c r="R210" s="2" t="s">
        <v>3215</v>
      </c>
      <c r="S210" s="2" t="s">
        <v>3215</v>
      </c>
      <c r="T210" s="3" t="s">
        <v>3215</v>
      </c>
    </row>
    <row r="211" spans="1:20" ht="12.9" customHeight="1" x14ac:dyDescent="0.2">
      <c r="A211" s="505" t="s">
        <v>3504</v>
      </c>
      <c r="B211" s="3">
        <v>8</v>
      </c>
      <c r="C211" s="197" t="s">
        <v>3879</v>
      </c>
      <c r="D211" s="197" t="s">
        <v>3580</v>
      </c>
      <c r="E211" s="2" t="s">
        <v>3880</v>
      </c>
      <c r="F211" s="2" t="s">
        <v>588</v>
      </c>
      <c r="G211" s="2" t="s">
        <v>3881</v>
      </c>
      <c r="H211" s="3" t="s">
        <v>3882</v>
      </c>
      <c r="I211" s="197" t="s">
        <v>2676</v>
      </c>
      <c r="J211" s="197" t="s">
        <v>579</v>
      </c>
      <c r="K211" s="7" t="s">
        <v>3883</v>
      </c>
      <c r="L211" s="2" t="s">
        <v>3884</v>
      </c>
      <c r="M211" s="2" t="s">
        <v>3885</v>
      </c>
      <c r="N211" s="3" t="s">
        <v>2524</v>
      </c>
      <c r="O211" s="197" t="s">
        <v>2525</v>
      </c>
      <c r="P211" s="197" t="s">
        <v>2526</v>
      </c>
      <c r="Q211" s="7" t="s">
        <v>2527</v>
      </c>
      <c r="R211" s="2" t="s">
        <v>2528</v>
      </c>
      <c r="S211" s="2" t="s">
        <v>2529</v>
      </c>
      <c r="T211" s="3" t="s">
        <v>2530</v>
      </c>
    </row>
    <row r="212" spans="1:20" s="507" customFormat="1" ht="12.9" customHeight="1" x14ac:dyDescent="0.2">
      <c r="A212" s="505" t="s">
        <v>1789</v>
      </c>
      <c r="B212" s="3">
        <v>5</v>
      </c>
      <c r="C212" s="504" t="s">
        <v>1793</v>
      </c>
      <c r="D212" s="504" t="s">
        <v>3287</v>
      </c>
      <c r="E212" s="2" t="s">
        <v>2419</v>
      </c>
      <c r="F212" s="2" t="s">
        <v>446</v>
      </c>
      <c r="G212" s="2" t="s">
        <v>4053</v>
      </c>
      <c r="H212" s="3" t="s">
        <v>4243</v>
      </c>
      <c r="I212" s="504" t="s">
        <v>1527</v>
      </c>
      <c r="J212" s="504" t="s">
        <v>1528</v>
      </c>
      <c r="K212" s="2" t="s">
        <v>2417</v>
      </c>
      <c r="L212" s="2" t="s">
        <v>2418</v>
      </c>
      <c r="M212" s="2" t="s">
        <v>3543</v>
      </c>
      <c r="N212" s="3" t="s">
        <v>2457</v>
      </c>
      <c r="O212" s="504" t="s">
        <v>1794</v>
      </c>
      <c r="P212" s="504" t="s">
        <v>2413</v>
      </c>
      <c r="Q212" s="2" t="s">
        <v>2414</v>
      </c>
      <c r="R212" s="2" t="s">
        <v>2415</v>
      </c>
      <c r="S212" s="2" t="s">
        <v>2416</v>
      </c>
      <c r="T212" s="3" t="s">
        <v>432</v>
      </c>
    </row>
    <row r="213" spans="1:20" s="507" customFormat="1" ht="12.9" customHeight="1" x14ac:dyDescent="0.2">
      <c r="A213" s="505" t="s">
        <v>1331</v>
      </c>
      <c r="B213" s="3">
        <v>7</v>
      </c>
      <c r="C213" s="197" t="s">
        <v>2676</v>
      </c>
      <c r="D213" s="197" t="s">
        <v>579</v>
      </c>
      <c r="E213" s="7" t="s">
        <v>484</v>
      </c>
      <c r="F213" s="2" t="s">
        <v>2678</v>
      </c>
      <c r="G213" s="2" t="s">
        <v>485</v>
      </c>
      <c r="H213" s="3" t="s">
        <v>486</v>
      </c>
      <c r="I213" s="504" t="s">
        <v>1610</v>
      </c>
      <c r="J213" s="504" t="s">
        <v>487</v>
      </c>
      <c r="K213" s="2" t="s">
        <v>488</v>
      </c>
      <c r="L213" s="2" t="s">
        <v>2136</v>
      </c>
      <c r="M213" s="2" t="s">
        <v>2462</v>
      </c>
      <c r="N213" s="3" t="s">
        <v>489</v>
      </c>
      <c r="O213" s="504" t="s">
        <v>1795</v>
      </c>
      <c r="P213" s="504" t="s">
        <v>3912</v>
      </c>
      <c r="Q213" s="2" t="s">
        <v>3909</v>
      </c>
      <c r="R213" s="2" t="s">
        <v>491</v>
      </c>
      <c r="S213" s="2" t="s">
        <v>492</v>
      </c>
      <c r="T213" s="3" t="s">
        <v>3701</v>
      </c>
    </row>
    <row r="214" spans="1:20" s="507" customFormat="1" ht="12.9" customHeight="1" x14ac:dyDescent="0.2">
      <c r="A214" s="505" t="s">
        <v>3994</v>
      </c>
      <c r="B214" s="3">
        <v>13</v>
      </c>
      <c r="C214" s="197" t="s">
        <v>3998</v>
      </c>
      <c r="D214" s="197" t="s">
        <v>652</v>
      </c>
      <c r="E214" s="7" t="s">
        <v>2793</v>
      </c>
      <c r="F214" s="2" t="s">
        <v>4080</v>
      </c>
      <c r="G214" s="2" t="s">
        <v>2466</v>
      </c>
      <c r="H214" s="3" t="s">
        <v>4045</v>
      </c>
      <c r="I214" s="504" t="s">
        <v>3999</v>
      </c>
      <c r="J214" s="197" t="s">
        <v>3826</v>
      </c>
      <c r="K214" s="2" t="s">
        <v>3527</v>
      </c>
      <c r="L214" s="2" t="s">
        <v>650</v>
      </c>
      <c r="M214" s="2" t="s">
        <v>1261</v>
      </c>
      <c r="N214" s="3" t="s">
        <v>651</v>
      </c>
      <c r="O214" s="504" t="s">
        <v>4000</v>
      </c>
      <c r="P214" s="504" t="s">
        <v>3580</v>
      </c>
      <c r="Q214" s="2" t="s">
        <v>3981</v>
      </c>
      <c r="R214" s="2" t="s">
        <v>2265</v>
      </c>
      <c r="S214" s="2" t="s">
        <v>3881</v>
      </c>
      <c r="T214" s="3" t="s">
        <v>648</v>
      </c>
    </row>
    <row r="215" spans="1:20" s="507" customFormat="1" ht="12.9" customHeight="1" x14ac:dyDescent="0.2">
      <c r="A215" s="505" t="s">
        <v>2340</v>
      </c>
      <c r="B215" s="3">
        <v>5</v>
      </c>
      <c r="C215" s="197" t="s">
        <v>2697</v>
      </c>
      <c r="D215" s="245" t="s">
        <v>4079</v>
      </c>
      <c r="E215" s="2" t="s">
        <v>735</v>
      </c>
      <c r="F215" s="2" t="s">
        <v>4081</v>
      </c>
      <c r="G215" s="2" t="s">
        <v>3088</v>
      </c>
      <c r="H215" s="3" t="s">
        <v>3514</v>
      </c>
      <c r="I215" s="197" t="s">
        <v>3999</v>
      </c>
      <c r="J215" s="197" t="s">
        <v>3826</v>
      </c>
      <c r="K215" s="7" t="s">
        <v>3527</v>
      </c>
      <c r="L215" s="2" t="s">
        <v>650</v>
      </c>
      <c r="M215" s="2" t="s">
        <v>1261</v>
      </c>
      <c r="N215" s="3" t="s">
        <v>3607</v>
      </c>
      <c r="O215" s="197" t="s">
        <v>1606</v>
      </c>
      <c r="P215" s="261" t="s">
        <v>4079</v>
      </c>
      <c r="Q215" s="27" t="s">
        <v>3870</v>
      </c>
      <c r="R215" s="27" t="s">
        <v>1226</v>
      </c>
      <c r="S215" s="27" t="s">
        <v>1227</v>
      </c>
      <c r="T215" s="28" t="s">
        <v>51</v>
      </c>
    </row>
    <row r="216" spans="1:20" s="507" customFormat="1" ht="12.9" customHeight="1" x14ac:dyDescent="0.2">
      <c r="A216" s="505" t="s">
        <v>2284</v>
      </c>
      <c r="B216" s="3">
        <v>12</v>
      </c>
      <c r="C216" s="197" t="s">
        <v>821</v>
      </c>
      <c r="D216" s="245" t="s">
        <v>1009</v>
      </c>
      <c r="E216" s="2" t="s">
        <v>4856</v>
      </c>
      <c r="F216" s="2" t="s">
        <v>4083</v>
      </c>
      <c r="G216" s="2" t="s">
        <v>824</v>
      </c>
      <c r="H216" s="3" t="s">
        <v>4858</v>
      </c>
      <c r="I216" s="197" t="s">
        <v>52</v>
      </c>
      <c r="J216" s="197" t="s">
        <v>730</v>
      </c>
      <c r="K216" s="2" t="s">
        <v>2835</v>
      </c>
      <c r="L216" s="2" t="s">
        <v>2836</v>
      </c>
      <c r="M216" s="2" t="s">
        <v>417</v>
      </c>
      <c r="N216" s="3" t="s">
        <v>418</v>
      </c>
      <c r="O216" s="197" t="s">
        <v>3999</v>
      </c>
      <c r="P216" s="197" t="s">
        <v>2733</v>
      </c>
      <c r="Q216" s="7" t="s">
        <v>3527</v>
      </c>
      <c r="R216" s="2" t="s">
        <v>650</v>
      </c>
      <c r="S216" s="2" t="s">
        <v>1261</v>
      </c>
      <c r="T216" s="3" t="s">
        <v>3607</v>
      </c>
    </row>
    <row r="217" spans="1:20" s="507" customFormat="1" ht="12.9" customHeight="1" x14ac:dyDescent="0.2">
      <c r="A217" s="505" t="s">
        <v>907</v>
      </c>
      <c r="B217" s="3">
        <v>8</v>
      </c>
      <c r="C217" s="197" t="s">
        <v>3999</v>
      </c>
      <c r="D217" s="197" t="s">
        <v>2733</v>
      </c>
      <c r="E217" s="7" t="s">
        <v>3527</v>
      </c>
      <c r="F217" s="2" t="s">
        <v>650</v>
      </c>
      <c r="G217" s="2" t="s">
        <v>1261</v>
      </c>
      <c r="H217" s="3" t="s">
        <v>3607</v>
      </c>
      <c r="I217" s="197" t="s">
        <v>52</v>
      </c>
      <c r="J217" s="197" t="s">
        <v>730</v>
      </c>
      <c r="K217" s="2" t="s">
        <v>2835</v>
      </c>
      <c r="L217" s="2" t="s">
        <v>2836</v>
      </c>
      <c r="M217" s="2" t="s">
        <v>417</v>
      </c>
      <c r="N217" s="3" t="s">
        <v>418</v>
      </c>
      <c r="O217" s="197" t="s">
        <v>908</v>
      </c>
      <c r="P217" s="197" t="s">
        <v>487</v>
      </c>
      <c r="Q217" s="7" t="s">
        <v>3081</v>
      </c>
      <c r="R217" s="2" t="s">
        <v>3368</v>
      </c>
      <c r="S217" s="2" t="s">
        <v>2967</v>
      </c>
      <c r="T217" s="3" t="s">
        <v>265</v>
      </c>
    </row>
    <row r="218" spans="1:20" s="507" customFormat="1" ht="12.9" customHeight="1" x14ac:dyDescent="0.2">
      <c r="A218" s="505" t="s">
        <v>1081</v>
      </c>
      <c r="B218" s="3">
        <v>4</v>
      </c>
      <c r="C218" s="197" t="s">
        <v>908</v>
      </c>
      <c r="D218" s="261" t="s">
        <v>487</v>
      </c>
      <c r="E218" s="7" t="s">
        <v>3081</v>
      </c>
      <c r="F218" s="2" t="s">
        <v>3368</v>
      </c>
      <c r="G218" s="2" t="s">
        <v>3367</v>
      </c>
      <c r="H218" s="3" t="s">
        <v>265</v>
      </c>
      <c r="I218" s="197" t="s">
        <v>1089</v>
      </c>
      <c r="J218" s="261" t="s">
        <v>4079</v>
      </c>
      <c r="K218" s="27" t="s">
        <v>1228</v>
      </c>
      <c r="L218" s="27" t="s">
        <v>4081</v>
      </c>
      <c r="M218" s="27" t="s">
        <v>3088</v>
      </c>
      <c r="N218" s="28" t="s">
        <v>3555</v>
      </c>
      <c r="O218" s="197" t="s">
        <v>911</v>
      </c>
      <c r="P218" s="197" t="s">
        <v>579</v>
      </c>
      <c r="Q218" s="2" t="s">
        <v>912</v>
      </c>
      <c r="R218" s="2" t="s">
        <v>1831</v>
      </c>
      <c r="S218" s="2" t="s">
        <v>485</v>
      </c>
      <c r="T218" s="3" t="s">
        <v>2921</v>
      </c>
    </row>
    <row r="219" spans="1:20" s="507" customFormat="1" ht="12.9" customHeight="1" x14ac:dyDescent="0.2">
      <c r="A219" s="505" t="str">
        <f>+A185</f>
        <v>2016 P</v>
      </c>
      <c r="B219" s="3">
        <v>7</v>
      </c>
      <c r="C219" s="197" t="s">
        <v>1089</v>
      </c>
      <c r="D219" s="261" t="s">
        <v>4079</v>
      </c>
      <c r="E219" s="27" t="s">
        <v>1228</v>
      </c>
      <c r="F219" s="27" t="s">
        <v>4081</v>
      </c>
      <c r="G219" s="27" t="s">
        <v>3088</v>
      </c>
      <c r="H219" s="28" t="s">
        <v>3555</v>
      </c>
      <c r="I219" s="197" t="s">
        <v>52</v>
      </c>
      <c r="J219" s="197" t="s">
        <v>730</v>
      </c>
      <c r="K219" s="2" t="s">
        <v>2835</v>
      </c>
      <c r="L219" s="2" t="s">
        <v>2836</v>
      </c>
      <c r="M219" s="2" t="s">
        <v>417</v>
      </c>
      <c r="N219" s="3" t="s">
        <v>418</v>
      </c>
      <c r="O219" s="197" t="s">
        <v>4343</v>
      </c>
      <c r="P219" s="504" t="s">
        <v>3580</v>
      </c>
      <c r="Q219" s="2" t="s">
        <v>4344</v>
      </c>
      <c r="R219" s="2" t="s">
        <v>1835</v>
      </c>
      <c r="S219" s="2" t="s">
        <v>824</v>
      </c>
      <c r="T219" s="3" t="s">
        <v>825</v>
      </c>
    </row>
    <row r="220" spans="1:20" s="507" customFormat="1" ht="12.9" customHeight="1" x14ac:dyDescent="0.2">
      <c r="A220" s="505" t="str">
        <f>+A186</f>
        <v>2017 P</v>
      </c>
      <c r="B220" s="3">
        <v>4</v>
      </c>
      <c r="C220" s="197" t="s">
        <v>4518</v>
      </c>
      <c r="D220" s="261" t="s">
        <v>4079</v>
      </c>
      <c r="E220" s="27" t="s">
        <v>2835</v>
      </c>
      <c r="F220" s="27" t="s">
        <v>3081</v>
      </c>
      <c r="G220" s="27" t="s">
        <v>417</v>
      </c>
      <c r="H220" s="28" t="s">
        <v>418</v>
      </c>
      <c r="I220" s="197" t="s">
        <v>4352</v>
      </c>
      <c r="J220" s="197" t="s">
        <v>579</v>
      </c>
      <c r="K220" s="2" t="s">
        <v>912</v>
      </c>
      <c r="L220" s="2" t="s">
        <v>2833</v>
      </c>
      <c r="M220" s="2" t="s">
        <v>485</v>
      </c>
      <c r="N220" s="3" t="s">
        <v>2921</v>
      </c>
      <c r="O220" s="197" t="s">
        <v>4375</v>
      </c>
      <c r="P220" s="504" t="s">
        <v>4403</v>
      </c>
      <c r="Q220" s="2" t="s">
        <v>3953</v>
      </c>
      <c r="R220" s="2" t="s">
        <v>4376</v>
      </c>
      <c r="S220" s="2" t="s">
        <v>4377</v>
      </c>
      <c r="T220" s="3" t="s">
        <v>639</v>
      </c>
    </row>
    <row r="221" spans="1:20" s="507" customFormat="1" ht="12.9" customHeight="1" x14ac:dyDescent="0.2">
      <c r="A221" s="505" t="str">
        <f>+A187</f>
        <v>2018 P</v>
      </c>
      <c r="B221" s="3">
        <v>4</v>
      </c>
      <c r="C221" s="197" t="s">
        <v>4649</v>
      </c>
      <c r="D221" s="261" t="s">
        <v>4650</v>
      </c>
      <c r="E221" s="27" t="s">
        <v>3522</v>
      </c>
      <c r="F221" s="27" t="s">
        <v>2812</v>
      </c>
      <c r="G221" s="27" t="s">
        <v>1313</v>
      </c>
      <c r="H221" s="28" t="s">
        <v>1242</v>
      </c>
      <c r="I221" s="197" t="s">
        <v>1550</v>
      </c>
      <c r="J221" s="197" t="s">
        <v>4652</v>
      </c>
      <c r="K221" s="2" t="s">
        <v>2265</v>
      </c>
      <c r="L221" s="2" t="s">
        <v>1256</v>
      </c>
      <c r="M221" s="2" t="s">
        <v>3881</v>
      </c>
      <c r="N221" s="3" t="s">
        <v>2970</v>
      </c>
      <c r="O221" s="197" t="s">
        <v>4651</v>
      </c>
      <c r="P221" s="504" t="s">
        <v>4653</v>
      </c>
      <c r="Q221" s="2" t="s">
        <v>3979</v>
      </c>
      <c r="R221" s="2" t="s">
        <v>4654</v>
      </c>
      <c r="S221" s="2" t="s">
        <v>4655</v>
      </c>
      <c r="T221" s="3" t="s">
        <v>4656</v>
      </c>
    </row>
    <row r="222" spans="1:20" s="507" customFormat="1" ht="12.9" customHeight="1" x14ac:dyDescent="0.2">
      <c r="A222" s="505" t="str">
        <f>+A188</f>
        <v>2019 P</v>
      </c>
      <c r="B222" s="3">
        <v>7</v>
      </c>
      <c r="C222" s="197" t="s">
        <v>3101</v>
      </c>
      <c r="D222" s="261" t="s">
        <v>4768</v>
      </c>
      <c r="E222" s="27" t="s">
        <v>4857</v>
      </c>
      <c r="F222" s="27" t="s">
        <v>912</v>
      </c>
      <c r="G222" s="27" t="s">
        <v>427</v>
      </c>
      <c r="H222" s="28" t="s">
        <v>4859</v>
      </c>
      <c r="I222" s="197" t="s">
        <v>4769</v>
      </c>
      <c r="J222" s="197" t="s">
        <v>3826</v>
      </c>
      <c r="K222" s="2" t="s">
        <v>1259</v>
      </c>
      <c r="L222" s="2" t="s">
        <v>650</v>
      </c>
      <c r="M222" s="2" t="s">
        <v>3083</v>
      </c>
      <c r="N222" s="3" t="s">
        <v>1262</v>
      </c>
      <c r="O222" s="197" t="s">
        <v>4770</v>
      </c>
      <c r="P222" s="504" t="s">
        <v>4855</v>
      </c>
      <c r="Q222" s="2" t="s">
        <v>4771</v>
      </c>
      <c r="R222" s="2" t="s">
        <v>2836</v>
      </c>
      <c r="S222" s="2" t="s">
        <v>3081</v>
      </c>
      <c r="T222" s="3" t="s">
        <v>3368</v>
      </c>
    </row>
    <row r="223" spans="1:20" s="507" customFormat="1" ht="12.9" customHeight="1" x14ac:dyDescent="0.2">
      <c r="A223" s="496"/>
      <c r="B223" s="496"/>
      <c r="C223" s="198"/>
      <c r="D223" s="198"/>
      <c r="E223" s="9"/>
      <c r="F223" s="4"/>
      <c r="G223" s="4"/>
      <c r="H223" s="5"/>
      <c r="I223" s="198"/>
      <c r="J223" s="198"/>
      <c r="K223" s="9"/>
      <c r="L223" s="4"/>
      <c r="M223" s="4"/>
      <c r="N223" s="5"/>
      <c r="O223" s="198"/>
      <c r="P223" s="198"/>
      <c r="Q223" s="9"/>
      <c r="R223" s="4"/>
      <c r="S223" s="4"/>
      <c r="T223" s="5"/>
    </row>
  </sheetData>
  <mergeCells count="20">
    <mergeCell ref="O1:T1"/>
    <mergeCell ref="C1:H1"/>
    <mergeCell ref="I1:N1"/>
    <mergeCell ref="C75:H75"/>
    <mergeCell ref="I75:N75"/>
    <mergeCell ref="O75:T75"/>
    <mergeCell ref="C96:H96"/>
    <mergeCell ref="I96:N96"/>
    <mergeCell ref="O96:T96"/>
    <mergeCell ref="C161:H161"/>
    <mergeCell ref="I161:N161"/>
    <mergeCell ref="O161:T161"/>
    <mergeCell ref="C192:H192"/>
    <mergeCell ref="I192:N192"/>
    <mergeCell ref="O192:T192"/>
    <mergeCell ref="A117:T117"/>
    <mergeCell ref="C118:H118"/>
    <mergeCell ref="I118:N118"/>
    <mergeCell ref="O118:T118"/>
    <mergeCell ref="A191:T191"/>
  </mergeCells>
  <phoneticPr fontId="0" type="noConversion"/>
  <printOptions horizontalCentered="1"/>
  <pageMargins left="0" right="0" top="0.59055118110236227" bottom="0" header="0" footer="0"/>
  <pageSetup paperSize="9" scale="66" fitToHeight="3" orientation="landscape" cellComments="asDisplayed" r:id="rId1"/>
  <headerFooter alignWithMargins="0">
    <oddHeader>&amp;L&amp;"Arial Black,Bold"&amp;14BABS Quartet Medal Winners over the years&amp;R&amp;"Arial Black,Regular"&amp;8Updated on :-  &amp;D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5"/>
  <sheetViews>
    <sheetView workbookViewId="0">
      <selection activeCell="H21" sqref="H21"/>
    </sheetView>
  </sheetViews>
  <sheetFormatPr defaultColWidth="8" defaultRowHeight="13.2" x14ac:dyDescent="0.25"/>
  <cols>
    <col min="1" max="1" width="3.88671875" style="191" customWidth="1"/>
    <col min="2" max="2" width="8" style="191" customWidth="1"/>
    <col min="3" max="3" width="28.21875" style="191" customWidth="1"/>
    <col min="4" max="4" width="23.77734375" style="191" customWidth="1"/>
    <col min="5" max="5" width="22.33203125" style="191" customWidth="1"/>
    <col min="6" max="6" width="14.88671875" style="191" customWidth="1"/>
    <col min="7" max="7" width="8" style="192"/>
    <col min="8" max="8" width="9.109375" style="192" customWidth="1"/>
    <col min="9" max="9" width="36.5546875" style="192" bestFit="1" customWidth="1"/>
    <col min="10" max="10" width="8" style="192"/>
    <col min="11" max="11" width="25.109375" style="192" bestFit="1" customWidth="1"/>
    <col min="12" max="12" width="8" style="626"/>
    <col min="13" max="13" width="25.109375" style="192" bestFit="1" customWidth="1"/>
    <col min="14" max="16384" width="8" style="192"/>
  </cols>
  <sheetData>
    <row r="1" spans="1:15" ht="15.6" x14ac:dyDescent="0.3">
      <c r="B1" s="190" t="s">
        <v>2538</v>
      </c>
      <c r="C1" s="193" t="s">
        <v>3907</v>
      </c>
      <c r="H1" s="191"/>
      <c r="I1" s="617" t="s">
        <v>4728</v>
      </c>
      <c r="J1" s="279"/>
      <c r="K1" s="617"/>
      <c r="L1" s="619"/>
      <c r="M1" s="191"/>
      <c r="N1" s="191"/>
      <c r="O1" s="191"/>
    </row>
    <row r="2" spans="1:15" ht="15.6" x14ac:dyDescent="0.3">
      <c r="B2" s="190"/>
      <c r="H2" s="595" t="s">
        <v>4568</v>
      </c>
      <c r="I2" s="595" t="s">
        <v>3737</v>
      </c>
      <c r="J2" s="595"/>
      <c r="K2" s="595" t="s">
        <v>3738</v>
      </c>
      <c r="L2" s="620"/>
      <c r="M2" s="595" t="s">
        <v>3739</v>
      </c>
      <c r="N2" s="596"/>
      <c r="O2" s="596"/>
    </row>
    <row r="3" spans="1:15" x14ac:dyDescent="0.25">
      <c r="B3" s="193" t="s">
        <v>2539</v>
      </c>
      <c r="C3" s="698" t="s">
        <v>789</v>
      </c>
      <c r="D3" s="698"/>
      <c r="E3" s="698"/>
      <c r="H3" s="597">
        <v>1</v>
      </c>
      <c r="I3" s="603" t="s">
        <v>2134</v>
      </c>
      <c r="J3" s="604">
        <v>2</v>
      </c>
      <c r="K3" s="597" t="str">
        <f t="shared" ref="K3:K42" si="0">+I3</f>
        <v>Major Oak</v>
      </c>
      <c r="L3" s="621"/>
      <c r="M3" s="597" t="str">
        <f t="shared" ref="M3:M42" si="1">+I3</f>
        <v>Major Oak</v>
      </c>
      <c r="N3" s="598">
        <v>2</v>
      </c>
      <c r="O3" s="598">
        <v>1</v>
      </c>
    </row>
    <row r="4" spans="1:15" s="191" customFormat="1" x14ac:dyDescent="0.25">
      <c r="C4" s="193" t="s">
        <v>3737</v>
      </c>
      <c r="D4" s="193" t="s">
        <v>3738</v>
      </c>
      <c r="E4" s="193" t="s">
        <v>3739</v>
      </c>
      <c r="H4" s="599">
        <v>2</v>
      </c>
      <c r="I4" s="605" t="s">
        <v>314</v>
      </c>
      <c r="J4" s="606">
        <v>2</v>
      </c>
      <c r="K4" s="599" t="str">
        <f t="shared" si="0"/>
        <v>Spirit of Harmony</v>
      </c>
      <c r="L4" s="622"/>
      <c r="M4" s="599" t="str">
        <f t="shared" si="1"/>
        <v>Spirit of Harmony</v>
      </c>
      <c r="N4" s="600">
        <v>1</v>
      </c>
      <c r="O4" s="600">
        <v>2</v>
      </c>
    </row>
    <row r="5" spans="1:15" s="191" customFormat="1" x14ac:dyDescent="0.25">
      <c r="C5" s="193"/>
      <c r="D5" s="193"/>
      <c r="E5" s="193"/>
      <c r="H5" s="599" t="s">
        <v>4738</v>
      </c>
      <c r="I5" s="605" t="s">
        <v>117</v>
      </c>
      <c r="J5" s="606">
        <v>2</v>
      </c>
      <c r="K5" s="599" t="str">
        <f t="shared" si="0"/>
        <v>Thames Valley Chorus</v>
      </c>
      <c r="L5" s="623"/>
      <c r="M5" s="599" t="str">
        <f t="shared" si="1"/>
        <v>Thames Valley Chorus</v>
      </c>
      <c r="N5" s="600"/>
      <c r="O5" s="600">
        <v>3</v>
      </c>
    </row>
    <row r="6" spans="1:15" x14ac:dyDescent="0.25">
      <c r="A6" s="191">
        <v>1</v>
      </c>
      <c r="B6" s="191">
        <v>1999</v>
      </c>
      <c r="C6" s="191" t="s">
        <v>313</v>
      </c>
      <c r="D6" s="279" t="s">
        <v>2454</v>
      </c>
      <c r="E6" s="279" t="s">
        <v>314</v>
      </c>
      <c r="F6" s="193" t="s">
        <v>3744</v>
      </c>
      <c r="H6" s="599" t="s">
        <v>4738</v>
      </c>
      <c r="I6" s="605" t="s">
        <v>319</v>
      </c>
      <c r="J6" s="606">
        <v>2</v>
      </c>
      <c r="K6" s="599" t="str">
        <f t="shared" si="0"/>
        <v>Capital Chorus</v>
      </c>
      <c r="L6" s="622"/>
      <c r="M6" s="599" t="str">
        <f t="shared" si="1"/>
        <v>Capital Chorus</v>
      </c>
      <c r="N6" s="600"/>
      <c r="O6" s="600">
        <v>4</v>
      </c>
    </row>
    <row r="7" spans="1:15" x14ac:dyDescent="0.25">
      <c r="A7" s="191">
        <v>2</v>
      </c>
      <c r="B7" s="191">
        <v>2000</v>
      </c>
      <c r="C7" s="279" t="s">
        <v>2450</v>
      </c>
      <c r="D7" s="279" t="s">
        <v>2563</v>
      </c>
      <c r="E7" s="279" t="s">
        <v>785</v>
      </c>
      <c r="H7" s="599">
        <v>4</v>
      </c>
      <c r="I7" s="605" t="s">
        <v>3020</v>
      </c>
      <c r="J7" s="606">
        <v>1</v>
      </c>
      <c r="K7" s="599" t="str">
        <f t="shared" si="0"/>
        <v>Cottontown Chorus</v>
      </c>
      <c r="L7" s="622">
        <v>1</v>
      </c>
      <c r="M7" s="599" t="str">
        <f t="shared" si="1"/>
        <v>Cottontown Chorus</v>
      </c>
      <c r="N7" s="600">
        <v>2</v>
      </c>
      <c r="O7" s="600">
        <v>5</v>
      </c>
    </row>
    <row r="8" spans="1:15" x14ac:dyDescent="0.25">
      <c r="A8" s="191">
        <v>3</v>
      </c>
      <c r="B8" s="191">
        <v>2001</v>
      </c>
      <c r="C8" s="191" t="s">
        <v>2566</v>
      </c>
      <c r="D8" s="279" t="s">
        <v>318</v>
      </c>
      <c r="E8" s="279" t="s">
        <v>2779</v>
      </c>
      <c r="H8" s="599">
        <v>5</v>
      </c>
      <c r="I8" s="605" t="s">
        <v>318</v>
      </c>
      <c r="J8" s="606">
        <v>1</v>
      </c>
      <c r="K8" s="599" t="str">
        <f t="shared" si="0"/>
        <v>Great Western</v>
      </c>
      <c r="L8" s="622">
        <v>1</v>
      </c>
      <c r="M8" s="599" t="str">
        <f t="shared" si="1"/>
        <v>Great Western</v>
      </c>
      <c r="N8" s="600">
        <v>1</v>
      </c>
      <c r="O8" s="600">
        <v>6</v>
      </c>
    </row>
    <row r="9" spans="1:15" x14ac:dyDescent="0.25">
      <c r="A9" s="191">
        <v>4</v>
      </c>
      <c r="B9" s="191">
        <v>2002</v>
      </c>
      <c r="C9" s="191" t="s">
        <v>315</v>
      </c>
      <c r="D9" s="279" t="s">
        <v>1952</v>
      </c>
      <c r="E9" s="279" t="s">
        <v>2566</v>
      </c>
      <c r="H9" s="599" t="s">
        <v>4564</v>
      </c>
      <c r="I9" s="605" t="s">
        <v>4283</v>
      </c>
      <c r="J9" s="606">
        <v>1</v>
      </c>
      <c r="K9" s="599" t="str">
        <f t="shared" si="0"/>
        <v>The Telfordaires</v>
      </c>
      <c r="L9" s="623">
        <v>1</v>
      </c>
      <c r="M9" s="599" t="str">
        <f t="shared" si="1"/>
        <v>The Telfordaires</v>
      </c>
      <c r="N9" s="600"/>
      <c r="O9" s="600">
        <v>7</v>
      </c>
    </row>
    <row r="10" spans="1:15" x14ac:dyDescent="0.25">
      <c r="A10" s="191">
        <v>5</v>
      </c>
      <c r="B10" s="191">
        <v>2003</v>
      </c>
      <c r="C10" s="191" t="s">
        <v>4283</v>
      </c>
      <c r="D10" s="279" t="s">
        <v>784</v>
      </c>
      <c r="E10" s="279" t="s">
        <v>786</v>
      </c>
      <c r="H10" s="599" t="s">
        <v>4564</v>
      </c>
      <c r="I10" s="605" t="s">
        <v>4280</v>
      </c>
      <c r="J10" s="606">
        <v>1</v>
      </c>
      <c r="K10" s="599" t="str">
        <f>+I10</f>
        <v>Ocean Harmony</v>
      </c>
      <c r="L10" s="622">
        <v>1</v>
      </c>
      <c r="M10" s="599" t="str">
        <f>+I10</f>
        <v>Ocean Harmony</v>
      </c>
      <c r="N10" s="600"/>
      <c r="O10" s="600">
        <v>8</v>
      </c>
    </row>
    <row r="11" spans="1:15" x14ac:dyDescent="0.25">
      <c r="A11" s="191">
        <v>6</v>
      </c>
      <c r="B11" s="191">
        <v>2004</v>
      </c>
      <c r="C11" s="191" t="s">
        <v>4407</v>
      </c>
      <c r="D11" s="279" t="s">
        <v>4136</v>
      </c>
      <c r="E11" s="279" t="s">
        <v>4127</v>
      </c>
      <c r="H11" s="599">
        <v>7</v>
      </c>
      <c r="I11" s="605" t="s">
        <v>2566</v>
      </c>
      <c r="J11" s="606">
        <v>1</v>
      </c>
      <c r="K11" s="599" t="str">
        <f t="shared" si="0"/>
        <v>Anvil Chorus</v>
      </c>
      <c r="L11" s="622"/>
      <c r="M11" s="599" t="str">
        <f t="shared" si="1"/>
        <v>Anvil Chorus</v>
      </c>
      <c r="N11" s="600">
        <v>1</v>
      </c>
      <c r="O11" s="600">
        <v>9</v>
      </c>
    </row>
    <row r="12" spans="1:15" x14ac:dyDescent="0.25">
      <c r="A12" s="191">
        <v>7</v>
      </c>
      <c r="B12" s="191">
        <v>2005</v>
      </c>
      <c r="C12" s="191" t="s">
        <v>3020</v>
      </c>
      <c r="D12" s="279" t="s">
        <v>3751</v>
      </c>
      <c r="E12" s="279" t="s">
        <v>3752</v>
      </c>
      <c r="H12" s="599" t="s">
        <v>4566</v>
      </c>
      <c r="I12" s="605" t="s">
        <v>313</v>
      </c>
      <c r="J12" s="606">
        <v>1</v>
      </c>
      <c r="K12" s="599" t="str">
        <f t="shared" si="0"/>
        <v>Cambridge Chord Company</v>
      </c>
      <c r="L12" s="622"/>
      <c r="M12" s="599" t="str">
        <f t="shared" si="1"/>
        <v>Cambridge Chord Company</v>
      </c>
      <c r="N12" s="600"/>
      <c r="O12" s="600">
        <v>10</v>
      </c>
    </row>
    <row r="13" spans="1:15" x14ac:dyDescent="0.25">
      <c r="A13" s="191">
        <v>8</v>
      </c>
      <c r="B13" s="191">
        <v>2006</v>
      </c>
      <c r="C13" s="279" t="s">
        <v>2452</v>
      </c>
      <c r="D13" s="279" t="s">
        <v>4283</v>
      </c>
      <c r="E13" s="279" t="s">
        <v>332</v>
      </c>
      <c r="H13" s="599" t="s">
        <v>4566</v>
      </c>
      <c r="I13" s="605" t="s">
        <v>2128</v>
      </c>
      <c r="J13" s="606">
        <v>1</v>
      </c>
      <c r="K13" s="599" t="str">
        <f t="shared" si="0"/>
        <v>Granite City</v>
      </c>
      <c r="L13" s="623"/>
      <c r="M13" s="599" t="str">
        <f t="shared" si="1"/>
        <v>Granite City</v>
      </c>
      <c r="N13" s="600"/>
      <c r="O13" s="600">
        <v>11</v>
      </c>
    </row>
    <row r="14" spans="1:15" x14ac:dyDescent="0.25">
      <c r="A14" s="191">
        <v>9</v>
      </c>
      <c r="B14" s="191">
        <v>2007</v>
      </c>
      <c r="C14" s="191" t="s">
        <v>317</v>
      </c>
      <c r="D14" s="279" t="s">
        <v>4282</v>
      </c>
      <c r="E14" s="279" t="s">
        <v>4136</v>
      </c>
      <c r="H14" s="599" t="s">
        <v>4566</v>
      </c>
      <c r="I14" s="605" t="s">
        <v>4729</v>
      </c>
      <c r="J14" s="606">
        <v>1</v>
      </c>
      <c r="K14" s="599" t="str">
        <f t="shared" si="0"/>
        <v>Voval Academy</v>
      </c>
      <c r="L14" s="622"/>
      <c r="M14" s="599" t="str">
        <f t="shared" si="1"/>
        <v>Voval Academy</v>
      </c>
      <c r="N14" s="600"/>
      <c r="O14" s="600">
        <v>12</v>
      </c>
    </row>
    <row r="15" spans="1:15" x14ac:dyDescent="0.25">
      <c r="A15" s="191">
        <v>10</v>
      </c>
      <c r="B15" s="191">
        <v>2008</v>
      </c>
      <c r="C15" s="191" t="s">
        <v>318</v>
      </c>
      <c r="D15" s="279" t="s">
        <v>3742</v>
      </c>
      <c r="E15" s="279" t="s">
        <v>4733</v>
      </c>
      <c r="H15" s="599" t="s">
        <v>4566</v>
      </c>
      <c r="I15" s="605" t="s">
        <v>1330</v>
      </c>
      <c r="J15" s="606">
        <v>1</v>
      </c>
      <c r="K15" s="599" t="str">
        <f t="shared" si="0"/>
        <v>The Clwyd Clippers</v>
      </c>
      <c r="L15" s="622"/>
      <c r="M15" s="599" t="str">
        <f t="shared" si="1"/>
        <v>The Clwyd Clippers</v>
      </c>
      <c r="N15" s="600"/>
      <c r="O15" s="600">
        <v>13</v>
      </c>
    </row>
    <row r="16" spans="1:15" x14ac:dyDescent="0.25">
      <c r="A16" s="191">
        <v>11</v>
      </c>
      <c r="B16" s="191">
        <v>2009</v>
      </c>
      <c r="C16" s="279" t="s">
        <v>4119</v>
      </c>
      <c r="D16" s="279" t="s">
        <v>3736</v>
      </c>
      <c r="E16" s="279" t="s">
        <v>787</v>
      </c>
      <c r="F16" s="193" t="s">
        <v>788</v>
      </c>
      <c r="H16" s="599" t="s">
        <v>4566</v>
      </c>
      <c r="I16" s="605" t="s">
        <v>4730</v>
      </c>
      <c r="J16" s="606">
        <v>1</v>
      </c>
      <c r="K16" s="599" t="str">
        <f t="shared" si="0"/>
        <v>Heart Of England</v>
      </c>
      <c r="L16" s="622"/>
      <c r="M16" s="599" t="str">
        <f t="shared" si="1"/>
        <v>Heart Of England</v>
      </c>
      <c r="N16" s="600"/>
      <c r="O16" s="600">
        <v>14</v>
      </c>
    </row>
    <row r="17" spans="1:15" x14ac:dyDescent="0.25">
      <c r="A17" s="191">
        <v>12</v>
      </c>
      <c r="B17" s="191">
        <v>2010</v>
      </c>
      <c r="C17" s="279" t="s">
        <v>1330</v>
      </c>
      <c r="D17" s="279" t="s">
        <v>2134</v>
      </c>
      <c r="E17" s="279" t="s">
        <v>4135</v>
      </c>
      <c r="H17" s="599" t="s">
        <v>4566</v>
      </c>
      <c r="I17" s="605" t="s">
        <v>1150</v>
      </c>
      <c r="J17" s="606">
        <v>1</v>
      </c>
      <c r="K17" s="599" t="str">
        <f t="shared" si="0"/>
        <v>Mantunian Way</v>
      </c>
      <c r="L17" s="622"/>
      <c r="M17" s="599" t="str">
        <f t="shared" si="1"/>
        <v>Mantunian Way</v>
      </c>
      <c r="N17" s="600"/>
      <c r="O17" s="600">
        <v>15</v>
      </c>
    </row>
    <row r="18" spans="1:15" x14ac:dyDescent="0.25">
      <c r="A18" s="191">
        <v>13</v>
      </c>
      <c r="B18" s="191">
        <v>2011</v>
      </c>
      <c r="C18" s="279" t="s">
        <v>4123</v>
      </c>
      <c r="D18" s="279" t="s">
        <v>4103</v>
      </c>
      <c r="E18" s="279" t="s">
        <v>2128</v>
      </c>
      <c r="H18" s="599" t="s">
        <v>4566</v>
      </c>
      <c r="I18" s="605" t="s">
        <v>4438</v>
      </c>
      <c r="J18" s="600">
        <v>1</v>
      </c>
      <c r="K18" s="599" t="str">
        <f t="shared" si="0"/>
        <v>MK Acapella</v>
      </c>
      <c r="L18" s="623"/>
      <c r="M18" s="599" t="str">
        <f t="shared" si="1"/>
        <v>MK Acapella</v>
      </c>
      <c r="N18" s="600"/>
      <c r="O18" s="600">
        <v>16</v>
      </c>
    </row>
    <row r="19" spans="1:15" x14ac:dyDescent="0.25">
      <c r="A19" s="191">
        <v>14</v>
      </c>
      <c r="B19" s="191">
        <v>2012</v>
      </c>
      <c r="C19" s="279" t="s">
        <v>2129</v>
      </c>
      <c r="D19" s="279" t="s">
        <v>332</v>
      </c>
      <c r="E19" s="279" t="s">
        <v>2011</v>
      </c>
      <c r="H19" s="599" t="s">
        <v>4566</v>
      </c>
      <c r="I19" s="605" t="s">
        <v>4504</v>
      </c>
      <c r="J19" s="600">
        <v>1</v>
      </c>
      <c r="K19" s="599" t="str">
        <f t="shared" ref="K19" si="2">+I19</f>
        <v>Sussex Harmonisers</v>
      </c>
      <c r="L19" s="623"/>
      <c r="M19" s="599" t="str">
        <f t="shared" ref="M19" si="3">+I19</f>
        <v>Sussex Harmonisers</v>
      </c>
      <c r="N19" s="600"/>
      <c r="O19" s="600">
        <v>17</v>
      </c>
    </row>
    <row r="20" spans="1:15" x14ac:dyDescent="0.25">
      <c r="A20" s="191">
        <v>15</v>
      </c>
      <c r="B20" s="191">
        <v>2013</v>
      </c>
      <c r="C20" s="279" t="s">
        <v>4733</v>
      </c>
      <c r="D20" s="279" t="s">
        <v>190</v>
      </c>
      <c r="E20" s="279" t="s">
        <v>2579</v>
      </c>
      <c r="H20" s="599">
        <v>9</v>
      </c>
      <c r="I20" s="605" t="s">
        <v>4135</v>
      </c>
      <c r="J20" s="600"/>
      <c r="K20" s="599" t="str">
        <f t="shared" si="0"/>
        <v>Harmony Lincs</v>
      </c>
      <c r="L20" s="623">
        <v>2</v>
      </c>
      <c r="M20" s="599" t="str">
        <f t="shared" si="1"/>
        <v>Harmony Lincs</v>
      </c>
      <c r="N20" s="600">
        <v>1</v>
      </c>
      <c r="O20" s="600">
        <v>18</v>
      </c>
    </row>
    <row r="21" spans="1:15" x14ac:dyDescent="0.25">
      <c r="A21" s="191">
        <v>16</v>
      </c>
      <c r="B21" s="191">
        <v>2014</v>
      </c>
      <c r="C21" s="191" t="s">
        <v>1028</v>
      </c>
      <c r="D21" s="191" t="s">
        <v>1029</v>
      </c>
      <c r="E21" s="191" t="s">
        <v>4282</v>
      </c>
      <c r="H21" s="599">
        <v>10</v>
      </c>
      <c r="I21" s="605" t="s">
        <v>4731</v>
      </c>
      <c r="J21" s="606"/>
      <c r="K21" s="599" t="str">
        <f t="shared" si="0"/>
        <v>Sound of Three Spires</v>
      </c>
      <c r="L21" s="622">
        <v>1</v>
      </c>
      <c r="M21" s="599" t="str">
        <f t="shared" si="1"/>
        <v>Sound of Three Spires</v>
      </c>
      <c r="N21" s="600">
        <v>2</v>
      </c>
      <c r="O21" s="600">
        <v>19</v>
      </c>
    </row>
    <row r="22" spans="1:15" x14ac:dyDescent="0.25">
      <c r="A22" s="191">
        <v>17</v>
      </c>
      <c r="B22" s="191">
        <v>2015</v>
      </c>
      <c r="C22" s="279" t="s">
        <v>4735</v>
      </c>
      <c r="D22" s="191" t="s">
        <v>2855</v>
      </c>
      <c r="E22" s="191" t="s">
        <v>318</v>
      </c>
      <c r="F22" s="193"/>
      <c r="H22" s="599" t="s">
        <v>4734</v>
      </c>
      <c r="I22" s="605" t="s">
        <v>4136</v>
      </c>
      <c r="J22" s="600"/>
      <c r="K22" s="599" t="str">
        <f t="shared" si="0"/>
        <v>The Royal Harmonics</v>
      </c>
      <c r="L22" s="623">
        <v>1</v>
      </c>
      <c r="M22" s="599" t="str">
        <f t="shared" si="1"/>
        <v>The Royal Harmonics</v>
      </c>
      <c r="N22" s="600">
        <v>1</v>
      </c>
      <c r="O22" s="600">
        <v>20</v>
      </c>
    </row>
    <row r="23" spans="1:15" x14ac:dyDescent="0.25">
      <c r="A23" s="191">
        <v>18</v>
      </c>
      <c r="B23" s="191">
        <v>2016</v>
      </c>
      <c r="C23" s="191" t="s">
        <v>4408</v>
      </c>
      <c r="D23" s="191" t="s">
        <v>4736</v>
      </c>
      <c r="E23" s="191" t="s">
        <v>2559</v>
      </c>
      <c r="H23" s="599" t="s">
        <v>4734</v>
      </c>
      <c r="I23" s="605" t="s">
        <v>4282</v>
      </c>
      <c r="J23" s="606"/>
      <c r="K23" s="599" t="str">
        <f t="shared" si="0"/>
        <v>Solent City Chorus</v>
      </c>
      <c r="L23" s="622">
        <v>1</v>
      </c>
      <c r="M23" s="599" t="str">
        <f t="shared" si="1"/>
        <v>Solent City Chorus</v>
      </c>
      <c r="N23" s="600">
        <v>1</v>
      </c>
      <c r="O23" s="600">
        <v>21</v>
      </c>
    </row>
    <row r="24" spans="1:15" x14ac:dyDescent="0.25">
      <c r="A24" s="191">
        <v>19</v>
      </c>
      <c r="B24" s="191">
        <v>2017</v>
      </c>
      <c r="C24" s="191" t="s">
        <v>4280</v>
      </c>
      <c r="D24" s="191" t="s">
        <v>4405</v>
      </c>
      <c r="E24" s="191" t="s">
        <v>401</v>
      </c>
      <c r="H24" s="599" t="s">
        <v>4734</v>
      </c>
      <c r="I24" s="605" t="s">
        <v>332</v>
      </c>
      <c r="J24" s="600"/>
      <c r="K24" s="599" t="str">
        <f t="shared" si="0"/>
        <v>Hallmark of Harmony</v>
      </c>
      <c r="L24" s="623">
        <v>1</v>
      </c>
      <c r="M24" s="599" t="str">
        <f t="shared" si="1"/>
        <v>Hallmark of Harmony</v>
      </c>
      <c r="N24" s="600">
        <v>1</v>
      </c>
      <c r="O24" s="600">
        <v>22</v>
      </c>
    </row>
    <row r="25" spans="1:15" x14ac:dyDescent="0.25">
      <c r="A25" s="191">
        <v>20</v>
      </c>
      <c r="B25" s="191">
        <v>2018</v>
      </c>
      <c r="C25" s="191" t="s">
        <v>1150</v>
      </c>
      <c r="D25" s="191" t="s">
        <v>4737</v>
      </c>
      <c r="E25" s="279" t="s">
        <v>4733</v>
      </c>
      <c r="H25" s="599" t="s">
        <v>4734</v>
      </c>
      <c r="I25" s="605" t="s">
        <v>4405</v>
      </c>
      <c r="J25" s="600"/>
      <c r="K25" s="599" t="str">
        <f>+I25</f>
        <v>Vocal Fusion</v>
      </c>
      <c r="L25" s="623">
        <v>1</v>
      </c>
      <c r="M25" s="599" t="str">
        <f>+I25</f>
        <v>Vocal Fusion</v>
      </c>
      <c r="N25" s="600">
        <v>1</v>
      </c>
      <c r="O25" s="600">
        <v>23</v>
      </c>
    </row>
    <row r="26" spans="1:15" x14ac:dyDescent="0.25">
      <c r="A26" s="191">
        <v>21</v>
      </c>
      <c r="B26" s="191">
        <v>2019</v>
      </c>
      <c r="C26" s="191" t="s">
        <v>4504</v>
      </c>
      <c r="D26" s="191" t="s">
        <v>4280</v>
      </c>
      <c r="E26" s="191" t="s">
        <v>4405</v>
      </c>
      <c r="H26" s="599" t="s">
        <v>4739</v>
      </c>
      <c r="I26" s="605" t="s">
        <v>2563</v>
      </c>
      <c r="J26" s="606"/>
      <c r="K26" s="599" t="str">
        <f t="shared" si="0"/>
        <v>Rainy City</v>
      </c>
      <c r="L26" s="622">
        <v>1</v>
      </c>
      <c r="M26" s="599" t="str">
        <f t="shared" si="1"/>
        <v>Rainy City</v>
      </c>
      <c r="N26" s="600"/>
      <c r="O26" s="600">
        <v>24</v>
      </c>
    </row>
    <row r="27" spans="1:15" x14ac:dyDescent="0.25">
      <c r="H27" s="599" t="s">
        <v>4739</v>
      </c>
      <c r="I27" s="605" t="s">
        <v>1952</v>
      </c>
      <c r="J27" s="606"/>
      <c r="K27" s="599" t="str">
        <f t="shared" si="0"/>
        <v>Knights of Harmony</v>
      </c>
      <c r="L27" s="622">
        <v>1</v>
      </c>
      <c r="M27" s="599" t="str">
        <f t="shared" si="1"/>
        <v>Knights of Harmony</v>
      </c>
      <c r="N27" s="600"/>
      <c r="O27" s="600">
        <v>25</v>
      </c>
    </row>
    <row r="28" spans="1:15" x14ac:dyDescent="0.25">
      <c r="H28" s="599" t="s">
        <v>4739</v>
      </c>
      <c r="I28" s="605" t="s">
        <v>784</v>
      </c>
      <c r="J28" s="606"/>
      <c r="K28" s="599" t="str">
        <f t="shared" si="0"/>
        <v>The Kingsmen</v>
      </c>
      <c r="L28" s="622">
        <v>1</v>
      </c>
      <c r="M28" s="599" t="str">
        <f t="shared" si="1"/>
        <v>The Kingsmen</v>
      </c>
      <c r="N28" s="600"/>
      <c r="O28" s="600">
        <v>26</v>
      </c>
    </row>
    <row r="29" spans="1:15" x14ac:dyDescent="0.25">
      <c r="H29" s="599" t="s">
        <v>4739</v>
      </c>
      <c r="I29" s="599" t="s">
        <v>3751</v>
      </c>
      <c r="J29" s="600"/>
      <c r="K29" s="599" t="str">
        <f t="shared" si="0"/>
        <v>The Kentones</v>
      </c>
      <c r="L29" s="622">
        <v>1</v>
      </c>
      <c r="M29" s="599" t="str">
        <f t="shared" si="1"/>
        <v>The Kentones</v>
      </c>
      <c r="N29" s="600"/>
      <c r="O29" s="600">
        <v>27</v>
      </c>
    </row>
    <row r="30" spans="1:15" x14ac:dyDescent="0.25">
      <c r="H30" s="599" t="s">
        <v>4739</v>
      </c>
      <c r="I30" s="605" t="s">
        <v>3742</v>
      </c>
      <c r="J30" s="600"/>
      <c r="K30" s="599" t="str">
        <f t="shared" si="0"/>
        <v>Hereward Harmony</v>
      </c>
      <c r="L30" s="623">
        <v>1</v>
      </c>
      <c r="M30" s="599" t="str">
        <f t="shared" si="1"/>
        <v>Hereward Harmony</v>
      </c>
      <c r="N30" s="600"/>
      <c r="O30" s="600">
        <v>28</v>
      </c>
    </row>
    <row r="31" spans="1:15" x14ac:dyDescent="0.25">
      <c r="H31" s="599" t="s">
        <v>4739</v>
      </c>
      <c r="I31" s="605" t="s">
        <v>3736</v>
      </c>
      <c r="J31" s="600"/>
      <c r="K31" s="599" t="str">
        <f t="shared" si="0"/>
        <v>Red Rose</v>
      </c>
      <c r="L31" s="623">
        <v>1</v>
      </c>
      <c r="M31" s="599" t="str">
        <f t="shared" si="1"/>
        <v>Red Rose</v>
      </c>
      <c r="N31" s="600"/>
      <c r="O31" s="600">
        <v>29</v>
      </c>
    </row>
    <row r="32" spans="1:15" x14ac:dyDescent="0.25">
      <c r="H32" s="599" t="s">
        <v>4739</v>
      </c>
      <c r="I32" s="605" t="s">
        <v>2134</v>
      </c>
      <c r="J32" s="600"/>
      <c r="K32" s="599" t="str">
        <f t="shared" si="0"/>
        <v>Major Oak</v>
      </c>
      <c r="L32" s="623">
        <v>1</v>
      </c>
      <c r="M32" s="599" t="str">
        <f t="shared" si="1"/>
        <v>Major Oak</v>
      </c>
      <c r="N32" s="600"/>
      <c r="O32" s="600">
        <v>30</v>
      </c>
    </row>
    <row r="33" spans="8:15" x14ac:dyDescent="0.25">
      <c r="H33" s="599" t="s">
        <v>4739</v>
      </c>
      <c r="I33" s="605" t="s">
        <v>4103</v>
      </c>
      <c r="J33" s="600"/>
      <c r="K33" s="599" t="str">
        <f t="shared" si="0"/>
        <v>Wight Harmony</v>
      </c>
      <c r="L33" s="623">
        <v>1</v>
      </c>
      <c r="M33" s="599" t="str">
        <f t="shared" si="1"/>
        <v>Wight Harmony</v>
      </c>
      <c r="N33" s="600"/>
      <c r="O33" s="600">
        <v>31</v>
      </c>
    </row>
    <row r="34" spans="8:15" x14ac:dyDescent="0.25">
      <c r="H34" s="599" t="s">
        <v>4739</v>
      </c>
      <c r="I34" s="605" t="s">
        <v>190</v>
      </c>
      <c r="J34" s="600"/>
      <c r="K34" s="599" t="str">
        <f t="shared" si="0"/>
        <v>Essex Chordsmen</v>
      </c>
      <c r="L34" s="623">
        <v>1</v>
      </c>
      <c r="M34" s="599" t="str">
        <f t="shared" si="1"/>
        <v>Essex Chordsmen</v>
      </c>
      <c r="N34" s="600"/>
      <c r="O34" s="600">
        <v>32</v>
      </c>
    </row>
    <row r="35" spans="8:15" x14ac:dyDescent="0.25">
      <c r="H35" s="599" t="s">
        <v>4739</v>
      </c>
      <c r="I35" s="605" t="s">
        <v>2855</v>
      </c>
      <c r="J35" s="600"/>
      <c r="K35" s="599" t="str">
        <f t="shared" si="0"/>
        <v>Fine City</v>
      </c>
      <c r="L35" s="623">
        <v>1</v>
      </c>
      <c r="M35" s="599" t="str">
        <f t="shared" si="1"/>
        <v>Fine City</v>
      </c>
      <c r="N35" s="600"/>
      <c r="O35" s="600">
        <v>33</v>
      </c>
    </row>
    <row r="36" spans="8:15" x14ac:dyDescent="0.25">
      <c r="H36" s="599" t="s">
        <v>4740</v>
      </c>
      <c r="I36" s="599" t="s">
        <v>4732</v>
      </c>
      <c r="J36" s="600"/>
      <c r="K36" s="599" t="str">
        <f t="shared" si="0"/>
        <v>The Red Rose Choorus</v>
      </c>
      <c r="L36" s="622"/>
      <c r="M36" s="599" t="str">
        <f t="shared" si="1"/>
        <v>The Red Rose Choorus</v>
      </c>
      <c r="N36" s="600">
        <v>1</v>
      </c>
      <c r="O36" s="600">
        <v>34</v>
      </c>
    </row>
    <row r="37" spans="8:15" x14ac:dyDescent="0.25">
      <c r="H37" s="599" t="s">
        <v>4740</v>
      </c>
      <c r="I37" s="605" t="s">
        <v>3752</v>
      </c>
      <c r="J37" s="600"/>
      <c r="K37" s="599" t="str">
        <f t="shared" si="0"/>
        <v>Southern Union</v>
      </c>
      <c r="L37" s="623"/>
      <c r="M37" s="599" t="str">
        <f t="shared" si="1"/>
        <v>Southern Union</v>
      </c>
      <c r="N37" s="600">
        <v>1</v>
      </c>
      <c r="O37" s="600">
        <v>35</v>
      </c>
    </row>
    <row r="38" spans="8:15" x14ac:dyDescent="0.25">
      <c r="H38" s="599" t="s">
        <v>4740</v>
      </c>
      <c r="I38" s="605" t="s">
        <v>2128</v>
      </c>
      <c r="J38" s="600"/>
      <c r="K38" s="599" t="str">
        <f t="shared" si="0"/>
        <v>Granite City</v>
      </c>
      <c r="L38" s="623"/>
      <c r="M38" s="599" t="str">
        <f t="shared" si="1"/>
        <v>Granite City</v>
      </c>
      <c r="N38" s="600">
        <v>1</v>
      </c>
      <c r="O38" s="600">
        <v>36</v>
      </c>
    </row>
    <row r="39" spans="8:15" x14ac:dyDescent="0.25">
      <c r="H39" s="599" t="s">
        <v>4740</v>
      </c>
      <c r="I39" s="605" t="s">
        <v>2011</v>
      </c>
      <c r="J39" s="600"/>
      <c r="K39" s="599" t="str">
        <f t="shared" si="0"/>
        <v>Tuxedo Junction</v>
      </c>
      <c r="L39" s="623"/>
      <c r="M39" s="599" t="str">
        <f t="shared" si="1"/>
        <v>Tuxedo Junction</v>
      </c>
      <c r="N39" s="600">
        <v>1</v>
      </c>
      <c r="O39" s="600">
        <v>37</v>
      </c>
    </row>
    <row r="40" spans="8:15" x14ac:dyDescent="0.25">
      <c r="H40" s="599" t="s">
        <v>4740</v>
      </c>
      <c r="I40" s="605" t="s">
        <v>2579</v>
      </c>
      <c r="J40" s="600"/>
      <c r="K40" s="599" t="str">
        <f t="shared" si="0"/>
        <v>Kings of Hearts</v>
      </c>
      <c r="L40" s="623"/>
      <c r="M40" s="599" t="str">
        <f t="shared" si="1"/>
        <v>Kings of Hearts</v>
      </c>
      <c r="N40" s="600">
        <v>1</v>
      </c>
      <c r="O40" s="600">
        <v>38</v>
      </c>
    </row>
    <row r="41" spans="8:15" x14ac:dyDescent="0.25">
      <c r="H41" s="599" t="s">
        <v>4740</v>
      </c>
      <c r="I41" s="605" t="s">
        <v>2559</v>
      </c>
      <c r="J41" s="600"/>
      <c r="K41" s="599" t="str">
        <f t="shared" si="0"/>
        <v>White Rose Chorus</v>
      </c>
      <c r="L41" s="623"/>
      <c r="M41" s="599" t="str">
        <f t="shared" si="1"/>
        <v>White Rose Chorus</v>
      </c>
      <c r="N41" s="600">
        <v>1</v>
      </c>
      <c r="O41" s="600">
        <v>39</v>
      </c>
    </row>
    <row r="42" spans="8:15" x14ac:dyDescent="0.25">
      <c r="H42" s="599" t="s">
        <v>4740</v>
      </c>
      <c r="I42" s="605" t="s">
        <v>401</v>
      </c>
      <c r="J42" s="600"/>
      <c r="K42" s="599" t="str">
        <f t="shared" si="0"/>
        <v>Harmony Revival</v>
      </c>
      <c r="L42" s="623"/>
      <c r="M42" s="599" t="str">
        <f t="shared" si="1"/>
        <v>Harmony Revival</v>
      </c>
      <c r="N42" s="600">
        <v>1</v>
      </c>
      <c r="O42" s="600">
        <v>40</v>
      </c>
    </row>
    <row r="43" spans="8:15" x14ac:dyDescent="0.25">
      <c r="H43" s="601"/>
      <c r="I43" s="607"/>
      <c r="J43" s="608"/>
      <c r="K43" s="601"/>
      <c r="L43" s="624"/>
      <c r="M43" s="601"/>
      <c r="N43" s="608"/>
      <c r="O43" s="602"/>
    </row>
    <row r="44" spans="8:15" x14ac:dyDescent="0.25">
      <c r="J44" s="618">
        <f>SUM(J2:J43)</f>
        <v>21</v>
      </c>
      <c r="L44" s="625">
        <f>SUM(L2:L43)</f>
        <v>21</v>
      </c>
      <c r="N44" s="618">
        <f>SUM(N2:N43)</f>
        <v>21</v>
      </c>
      <c r="O44" s="618">
        <f>+J44+L44+N44</f>
        <v>63</v>
      </c>
    </row>
    <row r="45" spans="8:15" x14ac:dyDescent="0.25">
      <c r="N45" s="192">
        <v>20</v>
      </c>
      <c r="O45" s="192">
        <f>+N45*3</f>
        <v>60</v>
      </c>
    </row>
  </sheetData>
  <sortState xmlns:xlrd2="http://schemas.microsoft.com/office/spreadsheetml/2017/richdata2" ref="I3:N42">
    <sortCondition descending="1" ref="J3:J42"/>
    <sortCondition descending="1" ref="L3:L42"/>
    <sortCondition descending="1" ref="N3:N42"/>
  </sortState>
  <mergeCells count="1">
    <mergeCell ref="C3:E3"/>
  </mergeCells>
  <phoneticPr fontId="10" type="noConversion"/>
  <printOptions horizontalCentered="1"/>
  <pageMargins left="0" right="0" top="0" bottom="0" header="0" footer="0"/>
  <pageSetup paperSize="9" scale="62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116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Z5" sqref="AZ5"/>
    </sheetView>
  </sheetViews>
  <sheetFormatPr defaultColWidth="8" defaultRowHeight="15.75" customHeight="1" x14ac:dyDescent="0.25"/>
  <cols>
    <col min="1" max="1" width="44.33203125" style="353" customWidth="1"/>
    <col min="2" max="9" width="6.77734375" style="351" customWidth="1"/>
    <col min="10" max="10" width="6.77734375" style="382" customWidth="1"/>
    <col min="11" max="13" width="6.77734375" style="351" customWidth="1"/>
    <col min="14" max="14" width="5.88671875" style="351" customWidth="1"/>
    <col min="15" max="15" width="6" style="373" customWidth="1"/>
    <col min="16" max="19" width="7.6640625" style="357" customWidth="1"/>
    <col min="20" max="21" width="9.109375" style="357" customWidth="1"/>
    <col min="22" max="24" width="9.109375" style="585" customWidth="1"/>
    <col min="25" max="25" width="7.6640625" style="373" customWidth="1"/>
    <col min="26" max="26" width="8.88671875" style="373" customWidth="1"/>
    <col min="27" max="34" width="8" style="373" customWidth="1"/>
    <col min="35" max="37" width="8" style="392" customWidth="1"/>
    <col min="38" max="39" width="8" style="393" customWidth="1"/>
    <col min="40" max="46" width="9.21875" style="393" customWidth="1"/>
    <col min="47" max="16384" width="8" style="353"/>
  </cols>
  <sheetData>
    <row r="1" spans="1:46" ht="15.75" customHeight="1" x14ac:dyDescent="0.3">
      <c r="A1" s="352" t="s">
        <v>3725</v>
      </c>
      <c r="B1" s="378"/>
      <c r="C1" s="378"/>
      <c r="D1" s="378"/>
      <c r="E1" s="378"/>
      <c r="F1" s="378"/>
      <c r="G1" s="378"/>
      <c r="H1" s="378"/>
      <c r="I1" s="378"/>
      <c r="J1" s="379"/>
      <c r="K1" s="378"/>
      <c r="L1" s="378"/>
      <c r="M1" s="378"/>
    </row>
    <row r="2" spans="1:46" ht="15.75" customHeight="1" x14ac:dyDescent="0.25">
      <c r="B2" s="376" t="s">
        <v>3285</v>
      </c>
      <c r="C2" s="376" t="s">
        <v>1617</v>
      </c>
      <c r="D2" s="376" t="s">
        <v>1629</v>
      </c>
      <c r="E2" s="376" t="s">
        <v>1641</v>
      </c>
      <c r="F2" s="376" t="s">
        <v>3691</v>
      </c>
      <c r="G2" s="376" t="s">
        <v>2747</v>
      </c>
      <c r="H2" s="376" t="s">
        <v>2757</v>
      </c>
      <c r="I2" s="376" t="s">
        <v>438</v>
      </c>
      <c r="J2" s="380" t="s">
        <v>3727</v>
      </c>
      <c r="K2" s="376" t="s">
        <v>3728</v>
      </c>
      <c r="L2" s="376" t="s">
        <v>3729</v>
      </c>
      <c r="M2" s="376" t="s">
        <v>3730</v>
      </c>
      <c r="N2" s="376" t="s">
        <v>3731</v>
      </c>
      <c r="O2" s="376" t="s">
        <v>3732</v>
      </c>
      <c r="P2" s="376" t="s">
        <v>3726</v>
      </c>
      <c r="Q2" s="376">
        <v>2012</v>
      </c>
      <c r="R2" s="376">
        <v>2013</v>
      </c>
      <c r="S2" s="376">
        <v>2014</v>
      </c>
      <c r="T2" s="376">
        <v>2015</v>
      </c>
      <c r="U2" s="376">
        <v>2016</v>
      </c>
      <c r="V2" s="586">
        <v>2017</v>
      </c>
      <c r="W2" s="586">
        <v>2018</v>
      </c>
      <c r="X2" s="586">
        <v>2019</v>
      </c>
      <c r="Y2" s="394" t="str">
        <f t="shared" ref="Y2:AH2" si="0">+D2</f>
        <v>1999</v>
      </c>
      <c r="Z2" s="394" t="str">
        <f t="shared" si="0"/>
        <v>2000</v>
      </c>
      <c r="AA2" s="394" t="str">
        <f t="shared" si="0"/>
        <v>2001</v>
      </c>
      <c r="AB2" s="394" t="str">
        <f t="shared" si="0"/>
        <v>2002</v>
      </c>
      <c r="AC2" s="394" t="str">
        <f t="shared" si="0"/>
        <v>2003</v>
      </c>
      <c r="AD2" s="394" t="str">
        <f t="shared" si="0"/>
        <v>2004</v>
      </c>
      <c r="AE2" s="394" t="str">
        <f t="shared" si="0"/>
        <v>2005</v>
      </c>
      <c r="AF2" s="394" t="str">
        <f t="shared" si="0"/>
        <v>2006</v>
      </c>
      <c r="AG2" s="394" t="str">
        <f t="shared" si="0"/>
        <v>2007</v>
      </c>
      <c r="AH2" s="394" t="str">
        <f t="shared" si="0"/>
        <v>2008</v>
      </c>
      <c r="AI2" s="394" t="str">
        <f t="shared" ref="AI2:AT2" si="1">+M2</f>
        <v>2008</v>
      </c>
      <c r="AJ2" s="394" t="str">
        <f t="shared" si="1"/>
        <v>2009</v>
      </c>
      <c r="AK2" s="394" t="str">
        <f t="shared" si="1"/>
        <v>2010</v>
      </c>
      <c r="AL2" s="394" t="str">
        <f t="shared" si="1"/>
        <v>2011</v>
      </c>
      <c r="AM2" s="394">
        <f t="shared" si="1"/>
        <v>2012</v>
      </c>
      <c r="AN2" s="394">
        <f t="shared" si="1"/>
        <v>2013</v>
      </c>
      <c r="AO2" s="394">
        <f t="shared" si="1"/>
        <v>2014</v>
      </c>
      <c r="AP2" s="394">
        <f t="shared" si="1"/>
        <v>2015</v>
      </c>
      <c r="AQ2" s="394">
        <f t="shared" si="1"/>
        <v>2016</v>
      </c>
      <c r="AR2" s="394">
        <f t="shared" si="1"/>
        <v>2017</v>
      </c>
      <c r="AS2" s="394">
        <f t="shared" si="1"/>
        <v>2018</v>
      </c>
      <c r="AT2" s="394">
        <f t="shared" si="1"/>
        <v>2019</v>
      </c>
    </row>
    <row r="3" spans="1:46" ht="15.75" customHeight="1" x14ac:dyDescent="0.25">
      <c r="A3" s="354" t="s">
        <v>2856</v>
      </c>
      <c r="B3" s="354" t="s">
        <v>3753</v>
      </c>
      <c r="C3" s="354" t="s">
        <v>3753</v>
      </c>
      <c r="D3" s="354" t="s">
        <v>3753</v>
      </c>
      <c r="E3" s="354" t="s">
        <v>3753</v>
      </c>
      <c r="F3" s="354" t="s">
        <v>3753</v>
      </c>
      <c r="G3" s="354" t="s">
        <v>3753</v>
      </c>
      <c r="H3" s="354"/>
      <c r="I3" s="354"/>
      <c r="J3" s="381"/>
      <c r="K3" s="354"/>
      <c r="L3" s="354"/>
      <c r="M3" s="354"/>
      <c r="N3" s="354"/>
      <c r="O3" s="374"/>
      <c r="P3" s="356"/>
      <c r="Q3" s="356"/>
      <c r="R3" s="356"/>
      <c r="S3" s="356"/>
      <c r="T3" s="356"/>
      <c r="U3" s="356"/>
      <c r="V3" s="587"/>
      <c r="W3" s="587"/>
      <c r="X3" s="587"/>
      <c r="Y3" s="395" t="s">
        <v>2196</v>
      </c>
      <c r="Z3" s="395" t="s">
        <v>2196</v>
      </c>
      <c r="AA3" s="395" t="s">
        <v>2196</v>
      </c>
      <c r="AB3" s="395" t="s">
        <v>2196</v>
      </c>
      <c r="AC3" s="395" t="s">
        <v>2196</v>
      </c>
      <c r="AD3" s="395" t="s">
        <v>2196</v>
      </c>
      <c r="AE3" s="395" t="s">
        <v>2196</v>
      </c>
      <c r="AF3" s="395" t="s">
        <v>2196</v>
      </c>
      <c r="AG3" s="395" t="s">
        <v>2196</v>
      </c>
      <c r="AH3" s="395" t="s">
        <v>2196</v>
      </c>
      <c r="AI3" s="395" t="s">
        <v>2196</v>
      </c>
      <c r="AJ3" s="395" t="s">
        <v>2196</v>
      </c>
      <c r="AK3" s="395" t="s">
        <v>2196</v>
      </c>
      <c r="AL3" s="395" t="s">
        <v>2196</v>
      </c>
      <c r="AM3" s="395" t="s">
        <v>2196</v>
      </c>
      <c r="AN3" s="395" t="s">
        <v>2196</v>
      </c>
      <c r="AO3" s="395" t="s">
        <v>2196</v>
      </c>
      <c r="AP3" s="395" t="s">
        <v>2196</v>
      </c>
      <c r="AQ3" s="395" t="s">
        <v>2196</v>
      </c>
      <c r="AR3" s="395" t="s">
        <v>2196</v>
      </c>
      <c r="AS3" s="395" t="s">
        <v>2196</v>
      </c>
      <c r="AT3" s="395" t="s">
        <v>2196</v>
      </c>
    </row>
    <row r="4" spans="1:46" ht="15.75" customHeight="1" x14ac:dyDescent="0.25">
      <c r="A4" s="358"/>
      <c r="N4" s="359"/>
      <c r="O4" s="377"/>
      <c r="Y4" s="373" t="s">
        <v>3745</v>
      </c>
      <c r="Z4" s="373" t="s">
        <v>3745</v>
      </c>
      <c r="AA4" s="373" t="s">
        <v>3745</v>
      </c>
      <c r="AB4" s="373" t="s">
        <v>3745</v>
      </c>
      <c r="AC4" s="373" t="s">
        <v>3745</v>
      </c>
      <c r="AD4" s="373" t="s">
        <v>3745</v>
      </c>
      <c r="AE4" s="373" t="s">
        <v>3745</v>
      </c>
      <c r="AF4" s="373" t="s">
        <v>3745</v>
      </c>
      <c r="AG4" s="373" t="s">
        <v>3745</v>
      </c>
      <c r="AH4" s="373" t="s">
        <v>3745</v>
      </c>
      <c r="AI4" s="392" t="s">
        <v>3746</v>
      </c>
    </row>
    <row r="5" spans="1:46" ht="15.75" customHeight="1" x14ac:dyDescent="0.25">
      <c r="A5" s="361" t="s">
        <v>2131</v>
      </c>
      <c r="B5" s="389">
        <f>430*3</f>
        <v>1290</v>
      </c>
      <c r="C5" s="389">
        <f>481*3</f>
        <v>1443</v>
      </c>
      <c r="D5" s="389"/>
      <c r="E5" s="377"/>
      <c r="F5" s="377">
        <v>1391</v>
      </c>
      <c r="G5" s="377"/>
      <c r="H5" s="377"/>
      <c r="I5" s="377">
        <v>1465</v>
      </c>
      <c r="J5" s="409"/>
      <c r="K5" s="377">
        <v>1438</v>
      </c>
      <c r="L5" s="377"/>
      <c r="M5" s="377"/>
      <c r="N5" s="377">
        <v>1357</v>
      </c>
      <c r="O5" s="377">
        <v>1380</v>
      </c>
      <c r="P5" s="377">
        <v>1346</v>
      </c>
      <c r="Q5" s="377">
        <v>1342</v>
      </c>
      <c r="R5" s="377">
        <v>1357</v>
      </c>
      <c r="S5" s="377">
        <v>1352</v>
      </c>
      <c r="T5" s="377">
        <v>1373</v>
      </c>
      <c r="U5" s="377">
        <v>1363</v>
      </c>
      <c r="V5" s="588">
        <f>1825/4*3</f>
        <v>1369</v>
      </c>
      <c r="W5" s="588">
        <v>1367</v>
      </c>
      <c r="X5" s="588"/>
      <c r="Y5" s="364">
        <f t="shared" ref="Y5:Y36" si="2">((+C5-B5)/(1800-B5))*100</f>
        <v>30</v>
      </c>
      <c r="Z5" s="364">
        <f t="shared" ref="Z5:Z36" si="3">((+D5-C5)/(1800-C5))*100</f>
        <v>-404.202</v>
      </c>
      <c r="AA5" s="364">
        <f t="shared" ref="AA5:AA36" si="4">((+E5-D5)/(1800-D5))*100</f>
        <v>0</v>
      </c>
      <c r="AB5" s="364">
        <f t="shared" ref="AB5:AB36" si="5">((+F5-E5)/(1800-E5))*100</f>
        <v>77.278000000000006</v>
      </c>
      <c r="AC5" s="364">
        <f t="shared" ref="AC5:AC36" si="6">((+G5-F5)/(1800-F5))*100</f>
        <v>-340.09800000000001</v>
      </c>
      <c r="AD5" s="364">
        <f t="shared" ref="AD5:AD36" si="7">((+H5-G5)/(1800-G5))*100</f>
        <v>0</v>
      </c>
      <c r="AE5" s="364">
        <f t="shared" ref="AE5:AE36" si="8">((+J5-I5)/(1800-I5))*100</f>
        <v>-437.31299999999999</v>
      </c>
      <c r="AF5" s="364">
        <f t="shared" ref="AF5:AF36" si="9">((+K5-J5)/(1800-J5))*100</f>
        <v>79.888999999999996</v>
      </c>
      <c r="AG5" s="364">
        <f t="shared" ref="AG5:AG36" si="10">((+L5-K5)/(1800-K5))*100</f>
        <v>-397.238</v>
      </c>
      <c r="AH5" s="364">
        <f t="shared" ref="AH5:AH36" si="11">((+M5-L5)/(1800-L5))*100</f>
        <v>0</v>
      </c>
      <c r="AI5" s="393" t="e">
        <f t="shared" ref="AI5:AI36" si="12">(+M5-L5)/L5*100</f>
        <v>#DIV/0!</v>
      </c>
      <c r="AJ5" s="393" t="e">
        <f t="shared" ref="AJ5:AJ36" si="13">(+N5-M5)/M5*100</f>
        <v>#DIV/0!</v>
      </c>
      <c r="AK5" s="393">
        <f t="shared" ref="AK5:AK36" si="14">(+O5-N5)/N5*100</f>
        <v>1.6950000000000001</v>
      </c>
      <c r="AL5" s="393">
        <f t="shared" ref="AL5:AL36" si="15">(+P5-O5)/O5*100</f>
        <v>-2.464</v>
      </c>
      <c r="AM5" s="393">
        <f t="shared" ref="AM5:AM36" si="16">(+Q5-P5)/P5*100</f>
        <v>-0.29699999999999999</v>
      </c>
      <c r="AN5" s="393">
        <f t="shared" ref="AN5:AN36" si="17">(+R5-Q5)/Q5*100</f>
        <v>1.1180000000000001</v>
      </c>
      <c r="AO5" s="393">
        <f t="shared" ref="AO5:AO36" si="18">(+S5-R5)/R5*100</f>
        <v>-0.36799999999999999</v>
      </c>
      <c r="AP5" s="393">
        <f t="shared" ref="AP5:AP36" si="19">(+T5-S5)/S5*100</f>
        <v>1.5529999999999999</v>
      </c>
      <c r="AQ5" s="393">
        <f t="shared" ref="AQ5:AQ36" si="20">(+U5-T5)/T5*100</f>
        <v>-0.72799999999999998</v>
      </c>
      <c r="AR5" s="393">
        <f t="shared" ref="AR5:AR36" si="21">(+V5-U5)/U5*100</f>
        <v>0.44</v>
      </c>
      <c r="AS5" s="393">
        <f t="shared" ref="AS5:AS36" si="22">(+W5-V5)/V5*100</f>
        <v>-0.14599999999999999</v>
      </c>
      <c r="AT5" s="393">
        <f t="shared" ref="AT5:AT36" si="23">(+X5-W5)/W5*100</f>
        <v>-100</v>
      </c>
    </row>
    <row r="6" spans="1:46" ht="15.75" customHeight="1" x14ac:dyDescent="0.25">
      <c r="A6" s="355" t="s">
        <v>2209</v>
      </c>
      <c r="B6" s="388">
        <f>380*3</f>
        <v>1140</v>
      </c>
      <c r="C6" s="388">
        <f>370.75*3</f>
        <v>1112</v>
      </c>
      <c r="D6" s="388">
        <f>344*3</f>
        <v>1032</v>
      </c>
      <c r="E6" s="377">
        <v>947</v>
      </c>
      <c r="F6" s="377">
        <v>969</v>
      </c>
      <c r="G6" s="377"/>
      <c r="H6" s="377"/>
      <c r="I6" s="377"/>
      <c r="J6" s="409"/>
      <c r="K6" s="377"/>
      <c r="L6" s="377"/>
      <c r="M6" s="377"/>
      <c r="N6" s="377">
        <v>924</v>
      </c>
      <c r="O6" s="377">
        <v>1037</v>
      </c>
      <c r="P6" s="377">
        <v>1084</v>
      </c>
      <c r="Q6" s="377">
        <v>1104</v>
      </c>
      <c r="R6" s="377">
        <v>1112</v>
      </c>
      <c r="S6" s="377">
        <v>1217</v>
      </c>
      <c r="T6" s="377">
        <v>1217</v>
      </c>
      <c r="U6" s="377"/>
      <c r="V6" s="588"/>
      <c r="W6" s="588">
        <v>1213</v>
      </c>
      <c r="X6" s="588"/>
      <c r="Y6" s="364">
        <f t="shared" si="2"/>
        <v>-4.242</v>
      </c>
      <c r="Z6" s="364">
        <f t="shared" si="3"/>
        <v>-11.628</v>
      </c>
      <c r="AA6" s="364">
        <f t="shared" si="4"/>
        <v>-11.068</v>
      </c>
      <c r="AB6" s="364">
        <f t="shared" si="5"/>
        <v>2.5790000000000002</v>
      </c>
      <c r="AC6" s="364">
        <f t="shared" si="6"/>
        <v>-116.60599999999999</v>
      </c>
      <c r="AD6" s="364">
        <f t="shared" si="7"/>
        <v>0</v>
      </c>
      <c r="AE6" s="364">
        <f t="shared" si="8"/>
        <v>0</v>
      </c>
      <c r="AF6" s="364">
        <f t="shared" si="9"/>
        <v>0</v>
      </c>
      <c r="AG6" s="364">
        <f t="shared" si="10"/>
        <v>0</v>
      </c>
      <c r="AH6" s="364">
        <f t="shared" si="11"/>
        <v>0</v>
      </c>
      <c r="AI6" s="393" t="e">
        <f t="shared" si="12"/>
        <v>#DIV/0!</v>
      </c>
      <c r="AJ6" s="393" t="e">
        <f t="shared" si="13"/>
        <v>#DIV/0!</v>
      </c>
      <c r="AK6" s="393">
        <f t="shared" si="14"/>
        <v>12.228999999999999</v>
      </c>
      <c r="AL6" s="393">
        <f t="shared" si="15"/>
        <v>4.532</v>
      </c>
      <c r="AM6" s="393">
        <f t="shared" si="16"/>
        <v>1.845</v>
      </c>
      <c r="AN6" s="393">
        <f t="shared" si="17"/>
        <v>0.72499999999999998</v>
      </c>
      <c r="AO6" s="393">
        <f t="shared" si="18"/>
        <v>9.4420000000000002</v>
      </c>
      <c r="AP6" s="393">
        <f t="shared" si="19"/>
        <v>0</v>
      </c>
      <c r="AQ6" s="393">
        <f t="shared" si="20"/>
        <v>-100</v>
      </c>
      <c r="AR6" s="393" t="e">
        <f t="shared" si="21"/>
        <v>#DIV/0!</v>
      </c>
      <c r="AS6" s="393" t="e">
        <f t="shared" si="22"/>
        <v>#DIV/0!</v>
      </c>
      <c r="AT6" s="393">
        <f t="shared" si="23"/>
        <v>-100</v>
      </c>
    </row>
    <row r="7" spans="1:46" ht="15.75" customHeight="1" x14ac:dyDescent="0.25">
      <c r="A7" s="360" t="s">
        <v>2454</v>
      </c>
      <c r="B7" s="390">
        <f>366*3</f>
        <v>1098</v>
      </c>
      <c r="C7" s="390">
        <f>397.25*3</f>
        <v>1192</v>
      </c>
      <c r="D7" s="390">
        <f>809/2*3</f>
        <v>1214</v>
      </c>
      <c r="E7" s="373">
        <v>1317</v>
      </c>
      <c r="F7" s="373">
        <v>1337</v>
      </c>
      <c r="G7" s="373">
        <v>1332</v>
      </c>
      <c r="H7" s="373">
        <v>1332</v>
      </c>
      <c r="I7" s="373">
        <v>1391</v>
      </c>
      <c r="J7" s="408">
        <f>1899/4*3</f>
        <v>1424</v>
      </c>
      <c r="K7" s="373"/>
      <c r="L7" s="373">
        <v>1398</v>
      </c>
      <c r="M7" s="373"/>
      <c r="N7" s="377">
        <v>1397</v>
      </c>
      <c r="O7" s="377"/>
      <c r="P7" s="373">
        <v>1364</v>
      </c>
      <c r="Q7" s="373"/>
      <c r="R7" s="373">
        <v>1431</v>
      </c>
      <c r="S7" s="373"/>
      <c r="T7" s="373">
        <v>1445</v>
      </c>
      <c r="U7" s="373">
        <v>1483</v>
      </c>
      <c r="V7" s="589"/>
      <c r="W7" s="589">
        <v>1470</v>
      </c>
      <c r="X7" s="589"/>
      <c r="Y7" s="364">
        <f t="shared" si="2"/>
        <v>13.39</v>
      </c>
      <c r="Z7" s="364">
        <f t="shared" si="3"/>
        <v>3.6179999999999999</v>
      </c>
      <c r="AA7" s="364">
        <f t="shared" si="4"/>
        <v>17.577000000000002</v>
      </c>
      <c r="AB7" s="364">
        <f t="shared" si="5"/>
        <v>4.141</v>
      </c>
      <c r="AC7" s="364">
        <f t="shared" si="6"/>
        <v>-1.08</v>
      </c>
      <c r="AD7" s="364">
        <f t="shared" si="7"/>
        <v>0</v>
      </c>
      <c r="AE7" s="364">
        <f t="shared" si="8"/>
        <v>8.0679999999999996</v>
      </c>
      <c r="AF7" s="364">
        <f t="shared" si="9"/>
        <v>-378.72300000000001</v>
      </c>
      <c r="AG7" s="364">
        <f t="shared" si="10"/>
        <v>77.667000000000002</v>
      </c>
      <c r="AH7" s="364">
        <f t="shared" si="11"/>
        <v>-347.76100000000002</v>
      </c>
      <c r="AI7" s="393">
        <f t="shared" si="12"/>
        <v>-100</v>
      </c>
      <c r="AJ7" s="393" t="e">
        <f t="shared" si="13"/>
        <v>#DIV/0!</v>
      </c>
      <c r="AK7" s="393">
        <f t="shared" si="14"/>
        <v>-100</v>
      </c>
      <c r="AL7" s="393" t="e">
        <f t="shared" si="15"/>
        <v>#DIV/0!</v>
      </c>
      <c r="AM7" s="393">
        <f t="shared" si="16"/>
        <v>-100</v>
      </c>
      <c r="AN7" s="393" t="e">
        <f t="shared" si="17"/>
        <v>#DIV/0!</v>
      </c>
      <c r="AO7" s="393">
        <f t="shared" si="18"/>
        <v>-100</v>
      </c>
      <c r="AP7" s="393" t="e">
        <f t="shared" si="19"/>
        <v>#DIV/0!</v>
      </c>
      <c r="AQ7" s="393">
        <f t="shared" si="20"/>
        <v>2.63</v>
      </c>
      <c r="AR7" s="393">
        <f t="shared" si="21"/>
        <v>-100</v>
      </c>
      <c r="AS7" s="393" t="e">
        <f t="shared" si="22"/>
        <v>#DIV/0!</v>
      </c>
      <c r="AT7" s="393">
        <f t="shared" si="23"/>
        <v>-100</v>
      </c>
    </row>
    <row r="8" spans="1:46" ht="15.75" customHeight="1" x14ac:dyDescent="0.25">
      <c r="A8" s="355" t="s">
        <v>2211</v>
      </c>
      <c r="B8" s="388">
        <f>241.5*3</f>
        <v>725</v>
      </c>
      <c r="C8" s="388"/>
      <c r="D8" s="388"/>
      <c r="E8" s="377">
        <v>799</v>
      </c>
      <c r="F8" s="377">
        <v>988</v>
      </c>
      <c r="G8" s="377">
        <v>935</v>
      </c>
      <c r="H8" s="377"/>
      <c r="I8" s="377"/>
      <c r="J8" s="409">
        <f>1361/4*3</f>
        <v>1021</v>
      </c>
      <c r="K8" s="377">
        <v>989</v>
      </c>
      <c r="L8" s="377">
        <v>909</v>
      </c>
      <c r="M8" s="377"/>
      <c r="N8" s="377"/>
      <c r="O8" s="377">
        <v>1017</v>
      </c>
      <c r="P8" s="377">
        <v>1068</v>
      </c>
      <c r="Q8" s="377">
        <v>1046</v>
      </c>
      <c r="R8" s="377"/>
      <c r="S8" s="377">
        <v>1190</v>
      </c>
      <c r="T8" s="377"/>
      <c r="U8" s="377">
        <v>1122</v>
      </c>
      <c r="V8" s="588"/>
      <c r="W8" s="588">
        <v>1153</v>
      </c>
      <c r="X8" s="588"/>
      <c r="Y8" s="364">
        <f t="shared" si="2"/>
        <v>-67.441999999999993</v>
      </c>
      <c r="Z8" s="364">
        <f t="shared" si="3"/>
        <v>0</v>
      </c>
      <c r="AA8" s="364">
        <f t="shared" si="4"/>
        <v>44.389000000000003</v>
      </c>
      <c r="AB8" s="364">
        <f t="shared" si="5"/>
        <v>18.881</v>
      </c>
      <c r="AC8" s="364">
        <f t="shared" si="6"/>
        <v>-6.5270000000000001</v>
      </c>
      <c r="AD8" s="364">
        <f t="shared" si="7"/>
        <v>-108.092</v>
      </c>
      <c r="AE8" s="364">
        <f t="shared" si="8"/>
        <v>56.722000000000001</v>
      </c>
      <c r="AF8" s="364">
        <f t="shared" si="9"/>
        <v>-4.1079999999999997</v>
      </c>
      <c r="AG8" s="364">
        <f t="shared" si="10"/>
        <v>-9.8640000000000008</v>
      </c>
      <c r="AH8" s="364">
        <f t="shared" si="11"/>
        <v>-102.02</v>
      </c>
      <c r="AI8" s="393">
        <f t="shared" si="12"/>
        <v>-100</v>
      </c>
      <c r="AJ8" s="393" t="e">
        <f t="shared" si="13"/>
        <v>#DIV/0!</v>
      </c>
      <c r="AK8" s="393" t="e">
        <f t="shared" si="14"/>
        <v>#DIV/0!</v>
      </c>
      <c r="AL8" s="393">
        <f t="shared" si="15"/>
        <v>5.0149999999999997</v>
      </c>
      <c r="AM8" s="393">
        <f t="shared" si="16"/>
        <v>-2.06</v>
      </c>
      <c r="AN8" s="393">
        <f t="shared" si="17"/>
        <v>-100</v>
      </c>
      <c r="AO8" s="393" t="e">
        <f t="shared" si="18"/>
        <v>#DIV/0!</v>
      </c>
      <c r="AP8" s="393">
        <f t="shared" si="19"/>
        <v>-100</v>
      </c>
      <c r="AQ8" s="393" t="e">
        <f t="shared" si="20"/>
        <v>#DIV/0!</v>
      </c>
      <c r="AR8" s="393">
        <f t="shared" si="21"/>
        <v>-100</v>
      </c>
      <c r="AS8" s="393" t="e">
        <f t="shared" si="22"/>
        <v>#DIV/0!</v>
      </c>
      <c r="AT8" s="393">
        <f t="shared" si="23"/>
        <v>-100</v>
      </c>
    </row>
    <row r="9" spans="1:46" ht="15.75" customHeight="1" x14ac:dyDescent="0.25">
      <c r="A9" s="355" t="s">
        <v>2204</v>
      </c>
      <c r="B9" s="388">
        <f>322*3</f>
        <v>966</v>
      </c>
      <c r="C9" s="388">
        <f>304.75*3</f>
        <v>914</v>
      </c>
      <c r="D9" s="388"/>
      <c r="E9" s="377"/>
      <c r="F9" s="377"/>
      <c r="G9" s="377">
        <v>988</v>
      </c>
      <c r="H9" s="377">
        <v>956</v>
      </c>
      <c r="I9" s="377"/>
      <c r="J9" s="409"/>
      <c r="K9" s="377"/>
      <c r="L9" s="377"/>
      <c r="M9" s="377">
        <v>1121</v>
      </c>
      <c r="N9" s="377">
        <v>1108</v>
      </c>
      <c r="O9" s="377">
        <v>1163</v>
      </c>
      <c r="P9" s="377">
        <v>1081</v>
      </c>
      <c r="Q9" s="377">
        <v>1058</v>
      </c>
      <c r="R9" s="377"/>
      <c r="S9" s="377">
        <v>1000</v>
      </c>
      <c r="T9" s="377">
        <v>983</v>
      </c>
      <c r="U9" s="377">
        <v>1068</v>
      </c>
      <c r="V9" s="588">
        <f>1364/4*3</f>
        <v>1023</v>
      </c>
      <c r="W9" s="588">
        <v>1154</v>
      </c>
      <c r="X9" s="588"/>
      <c r="Y9" s="364">
        <f t="shared" si="2"/>
        <v>-6.2350000000000003</v>
      </c>
      <c r="Z9" s="364">
        <f t="shared" si="3"/>
        <v>-103.16</v>
      </c>
      <c r="AA9" s="364">
        <f t="shared" si="4"/>
        <v>0</v>
      </c>
      <c r="AB9" s="364">
        <f t="shared" si="5"/>
        <v>0</v>
      </c>
      <c r="AC9" s="364">
        <f t="shared" si="6"/>
        <v>54.889000000000003</v>
      </c>
      <c r="AD9" s="364">
        <f t="shared" si="7"/>
        <v>-3.9409999999999998</v>
      </c>
      <c r="AE9" s="364">
        <f t="shared" si="8"/>
        <v>0</v>
      </c>
      <c r="AF9" s="364">
        <f t="shared" si="9"/>
        <v>0</v>
      </c>
      <c r="AG9" s="364">
        <f t="shared" si="10"/>
        <v>0</v>
      </c>
      <c r="AH9" s="364">
        <f t="shared" si="11"/>
        <v>62.277999999999999</v>
      </c>
      <c r="AI9" s="393" t="e">
        <f t="shared" si="12"/>
        <v>#DIV/0!</v>
      </c>
      <c r="AJ9" s="393">
        <f t="shared" si="13"/>
        <v>-1.1599999999999999</v>
      </c>
      <c r="AK9" s="393">
        <f t="shared" si="14"/>
        <v>4.9640000000000004</v>
      </c>
      <c r="AL9" s="393">
        <f t="shared" si="15"/>
        <v>-7.0510000000000002</v>
      </c>
      <c r="AM9" s="393">
        <f t="shared" si="16"/>
        <v>-2.1280000000000001</v>
      </c>
      <c r="AN9" s="393">
        <f t="shared" si="17"/>
        <v>-100</v>
      </c>
      <c r="AO9" s="393" t="e">
        <f t="shared" si="18"/>
        <v>#DIV/0!</v>
      </c>
      <c r="AP9" s="393">
        <f t="shared" si="19"/>
        <v>-1.7</v>
      </c>
      <c r="AQ9" s="393">
        <f t="shared" si="20"/>
        <v>8.6470000000000002</v>
      </c>
      <c r="AR9" s="393">
        <f t="shared" si="21"/>
        <v>-4.2130000000000001</v>
      </c>
      <c r="AS9" s="393">
        <f t="shared" si="22"/>
        <v>12.805</v>
      </c>
      <c r="AT9" s="393">
        <f t="shared" si="23"/>
        <v>-100</v>
      </c>
    </row>
    <row r="10" spans="1:46" ht="15.75" customHeight="1" x14ac:dyDescent="0.25">
      <c r="A10" s="361" t="s">
        <v>2129</v>
      </c>
      <c r="B10" s="389"/>
      <c r="C10" s="389"/>
      <c r="D10" s="389"/>
      <c r="E10" s="377"/>
      <c r="F10" s="377">
        <v>773</v>
      </c>
      <c r="G10" s="377"/>
      <c r="H10" s="377"/>
      <c r="I10" s="377"/>
      <c r="J10" s="409"/>
      <c r="K10" s="377">
        <v>929</v>
      </c>
      <c r="L10" s="377">
        <v>901</v>
      </c>
      <c r="M10" s="377">
        <v>880</v>
      </c>
      <c r="N10" s="377">
        <v>856</v>
      </c>
      <c r="O10" s="377"/>
      <c r="P10" s="373">
        <v>782</v>
      </c>
      <c r="Q10" s="373">
        <v>958</v>
      </c>
      <c r="R10" s="373">
        <v>958</v>
      </c>
      <c r="S10" s="373">
        <v>957</v>
      </c>
      <c r="T10" s="373"/>
      <c r="U10" s="373"/>
      <c r="V10" s="589">
        <f>1243/4*3</f>
        <v>932</v>
      </c>
      <c r="W10" s="589">
        <v>768</v>
      </c>
      <c r="X10" s="589"/>
      <c r="Y10" s="364">
        <f t="shared" si="2"/>
        <v>0</v>
      </c>
      <c r="Z10" s="364">
        <f t="shared" si="3"/>
        <v>0</v>
      </c>
      <c r="AA10" s="364">
        <f t="shared" si="4"/>
        <v>0</v>
      </c>
      <c r="AB10" s="364">
        <f t="shared" si="5"/>
        <v>42.944000000000003</v>
      </c>
      <c r="AC10" s="364">
        <f t="shared" si="6"/>
        <v>-75.268000000000001</v>
      </c>
      <c r="AD10" s="364">
        <f t="shared" si="7"/>
        <v>0</v>
      </c>
      <c r="AE10" s="364">
        <f t="shared" si="8"/>
        <v>0</v>
      </c>
      <c r="AF10" s="364">
        <f t="shared" si="9"/>
        <v>51.610999999999997</v>
      </c>
      <c r="AG10" s="364">
        <f t="shared" si="10"/>
        <v>-3.2149999999999999</v>
      </c>
      <c r="AH10" s="364">
        <f t="shared" si="11"/>
        <v>-2.3359999999999999</v>
      </c>
      <c r="AI10" s="393">
        <f t="shared" si="12"/>
        <v>-2.331</v>
      </c>
      <c r="AJ10" s="393">
        <f t="shared" si="13"/>
        <v>-2.7269999999999999</v>
      </c>
      <c r="AK10" s="393">
        <f t="shared" si="14"/>
        <v>-100</v>
      </c>
      <c r="AL10" s="393" t="e">
        <f t="shared" si="15"/>
        <v>#DIV/0!</v>
      </c>
      <c r="AM10" s="393">
        <f t="shared" si="16"/>
        <v>22.506</v>
      </c>
      <c r="AN10" s="393">
        <f t="shared" si="17"/>
        <v>0</v>
      </c>
      <c r="AO10" s="393">
        <f t="shared" si="18"/>
        <v>-0.104</v>
      </c>
      <c r="AP10" s="393">
        <f t="shared" si="19"/>
        <v>-100</v>
      </c>
      <c r="AQ10" s="393" t="e">
        <f t="shared" si="20"/>
        <v>#DIV/0!</v>
      </c>
      <c r="AR10" s="393" t="e">
        <f t="shared" si="21"/>
        <v>#DIV/0!</v>
      </c>
      <c r="AS10" s="393">
        <f t="shared" si="22"/>
        <v>-17.597000000000001</v>
      </c>
      <c r="AT10" s="393">
        <f t="shared" si="23"/>
        <v>-100</v>
      </c>
    </row>
    <row r="11" spans="1:46" ht="15.75" customHeight="1" x14ac:dyDescent="0.25">
      <c r="A11" s="355" t="s">
        <v>2212</v>
      </c>
      <c r="B11" s="388"/>
      <c r="C11" s="388"/>
      <c r="D11" s="388"/>
      <c r="E11" s="377"/>
      <c r="F11" s="377"/>
      <c r="G11" s="377"/>
      <c r="H11" s="377"/>
      <c r="I11" s="377"/>
      <c r="J11" s="409"/>
      <c r="K11" s="377"/>
      <c r="L11" s="377"/>
      <c r="M11" s="377"/>
      <c r="N11" s="377"/>
      <c r="O11" s="377">
        <v>1015</v>
      </c>
      <c r="P11" s="373"/>
      <c r="Q11" s="373">
        <v>981</v>
      </c>
      <c r="R11" s="373">
        <v>967</v>
      </c>
      <c r="S11" s="373"/>
      <c r="T11" s="373">
        <v>949</v>
      </c>
      <c r="U11" s="373">
        <v>1003</v>
      </c>
      <c r="V11" s="589">
        <f>1434/4*3</f>
        <v>1076</v>
      </c>
      <c r="W11" s="589">
        <v>1028</v>
      </c>
      <c r="X11" s="589"/>
      <c r="Y11" s="364">
        <f t="shared" si="2"/>
        <v>0</v>
      </c>
      <c r="Z11" s="364">
        <f t="shared" si="3"/>
        <v>0</v>
      </c>
      <c r="AA11" s="364">
        <f t="shared" si="4"/>
        <v>0</v>
      </c>
      <c r="AB11" s="364">
        <f t="shared" si="5"/>
        <v>0</v>
      </c>
      <c r="AC11" s="364">
        <f t="shared" si="6"/>
        <v>0</v>
      </c>
      <c r="AD11" s="364">
        <f t="shared" si="7"/>
        <v>0</v>
      </c>
      <c r="AE11" s="364">
        <f t="shared" si="8"/>
        <v>0</v>
      </c>
      <c r="AF11" s="364">
        <f t="shared" si="9"/>
        <v>0</v>
      </c>
      <c r="AG11" s="364">
        <f t="shared" si="10"/>
        <v>0</v>
      </c>
      <c r="AH11" s="364">
        <f t="shared" si="11"/>
        <v>0</v>
      </c>
      <c r="AI11" s="393" t="e">
        <f t="shared" si="12"/>
        <v>#DIV/0!</v>
      </c>
      <c r="AJ11" s="393" t="e">
        <f t="shared" si="13"/>
        <v>#DIV/0!</v>
      </c>
      <c r="AK11" s="393" t="e">
        <f t="shared" si="14"/>
        <v>#DIV/0!</v>
      </c>
      <c r="AL11" s="393">
        <f t="shared" si="15"/>
        <v>-100</v>
      </c>
      <c r="AM11" s="393" t="e">
        <f t="shared" si="16"/>
        <v>#DIV/0!</v>
      </c>
      <c r="AN11" s="393">
        <f t="shared" si="17"/>
        <v>-1.427</v>
      </c>
      <c r="AO11" s="393">
        <f t="shared" si="18"/>
        <v>-100</v>
      </c>
      <c r="AP11" s="393" t="e">
        <f t="shared" si="19"/>
        <v>#DIV/0!</v>
      </c>
      <c r="AQ11" s="393">
        <f t="shared" si="20"/>
        <v>5.69</v>
      </c>
      <c r="AR11" s="393">
        <f t="shared" si="21"/>
        <v>7.2779999999999996</v>
      </c>
      <c r="AS11" s="393">
        <f t="shared" si="22"/>
        <v>-4.4610000000000003</v>
      </c>
      <c r="AT11" s="393">
        <f t="shared" si="23"/>
        <v>-100</v>
      </c>
    </row>
    <row r="12" spans="1:46" ht="15.75" customHeight="1" x14ac:dyDescent="0.25">
      <c r="A12" s="355" t="s">
        <v>2197</v>
      </c>
      <c r="B12" s="388">
        <f>312*3</f>
        <v>936</v>
      </c>
      <c r="C12" s="388">
        <f>348*3</f>
        <v>1044</v>
      </c>
      <c r="D12" s="388">
        <f>371.5*3</f>
        <v>1115</v>
      </c>
      <c r="E12" s="377">
        <v>1108</v>
      </c>
      <c r="F12" s="377">
        <v>1110</v>
      </c>
      <c r="G12" s="377">
        <v>1165</v>
      </c>
      <c r="H12" s="377">
        <v>1140</v>
      </c>
      <c r="I12" s="377">
        <v>1198</v>
      </c>
      <c r="J12" s="409">
        <f>1528/4*3</f>
        <v>1146</v>
      </c>
      <c r="K12" s="377">
        <v>1301</v>
      </c>
      <c r="L12" s="377">
        <v>1309</v>
      </c>
      <c r="M12" s="377">
        <v>1319</v>
      </c>
      <c r="N12" s="377">
        <v>1331</v>
      </c>
      <c r="O12" s="377">
        <v>1366</v>
      </c>
      <c r="P12" s="377">
        <v>1320</v>
      </c>
      <c r="Q12" s="377">
        <v>1351</v>
      </c>
      <c r="R12" s="377">
        <v>1386</v>
      </c>
      <c r="S12" s="377">
        <v>1399</v>
      </c>
      <c r="T12" s="377">
        <v>1387</v>
      </c>
      <c r="U12" s="377">
        <v>1343</v>
      </c>
      <c r="V12" s="588">
        <f>1843/4*3</f>
        <v>1382</v>
      </c>
      <c r="W12" s="588">
        <v>1385</v>
      </c>
      <c r="X12" s="588"/>
      <c r="Y12" s="364">
        <f t="shared" si="2"/>
        <v>12.5</v>
      </c>
      <c r="Z12" s="364">
        <f t="shared" si="3"/>
        <v>9.3919999999999995</v>
      </c>
      <c r="AA12" s="364">
        <f t="shared" si="4"/>
        <v>-1.022</v>
      </c>
      <c r="AB12" s="364">
        <f t="shared" si="5"/>
        <v>0.28899999999999998</v>
      </c>
      <c r="AC12" s="364">
        <f t="shared" si="6"/>
        <v>7.9710000000000001</v>
      </c>
      <c r="AD12" s="364">
        <f t="shared" si="7"/>
        <v>-3.9369999999999998</v>
      </c>
      <c r="AE12" s="364">
        <f t="shared" si="8"/>
        <v>-8.6379999999999999</v>
      </c>
      <c r="AF12" s="364">
        <f t="shared" si="9"/>
        <v>23.7</v>
      </c>
      <c r="AG12" s="364">
        <f t="shared" si="10"/>
        <v>1.603</v>
      </c>
      <c r="AH12" s="364">
        <f t="shared" si="11"/>
        <v>2.0369999999999999</v>
      </c>
      <c r="AI12" s="393">
        <f t="shared" si="12"/>
        <v>0.76400000000000001</v>
      </c>
      <c r="AJ12" s="393">
        <f t="shared" si="13"/>
        <v>0.91</v>
      </c>
      <c r="AK12" s="393">
        <f t="shared" si="14"/>
        <v>2.63</v>
      </c>
      <c r="AL12" s="393">
        <f t="shared" si="15"/>
        <v>-3.367</v>
      </c>
      <c r="AM12" s="393">
        <f t="shared" si="16"/>
        <v>2.3479999999999999</v>
      </c>
      <c r="AN12" s="393">
        <f t="shared" si="17"/>
        <v>2.5910000000000002</v>
      </c>
      <c r="AO12" s="393">
        <f t="shared" si="18"/>
        <v>0.93799999999999994</v>
      </c>
      <c r="AP12" s="393">
        <f t="shared" si="19"/>
        <v>-0.85799999999999998</v>
      </c>
      <c r="AQ12" s="393">
        <f t="shared" si="20"/>
        <v>-3.1720000000000002</v>
      </c>
      <c r="AR12" s="393">
        <f t="shared" si="21"/>
        <v>2.9039999999999999</v>
      </c>
      <c r="AS12" s="393">
        <f t="shared" si="22"/>
        <v>0.217</v>
      </c>
      <c r="AT12" s="393">
        <f t="shared" si="23"/>
        <v>-100</v>
      </c>
    </row>
    <row r="13" spans="1:46" ht="15.75" customHeight="1" x14ac:dyDescent="0.25">
      <c r="A13" s="361" t="s">
        <v>2125</v>
      </c>
      <c r="B13" s="389"/>
      <c r="C13" s="389"/>
      <c r="D13" s="389"/>
      <c r="E13" s="377"/>
      <c r="F13" s="377"/>
      <c r="G13" s="377"/>
      <c r="H13" s="377"/>
      <c r="I13" s="377"/>
      <c r="J13" s="409"/>
      <c r="K13" s="377"/>
      <c r="L13" s="377">
        <v>967</v>
      </c>
      <c r="M13" s="377">
        <v>1115</v>
      </c>
      <c r="N13" s="377">
        <v>990</v>
      </c>
      <c r="O13" s="377">
        <v>884</v>
      </c>
      <c r="P13" s="373"/>
      <c r="Q13" s="373">
        <v>933</v>
      </c>
      <c r="R13" s="373"/>
      <c r="S13" s="373">
        <v>1029</v>
      </c>
      <c r="T13" s="373"/>
      <c r="U13" s="373">
        <v>1106</v>
      </c>
      <c r="V13" s="589"/>
      <c r="W13" s="589">
        <v>1200</v>
      </c>
      <c r="X13" s="589"/>
      <c r="Y13" s="364">
        <f t="shared" si="2"/>
        <v>0</v>
      </c>
      <c r="Z13" s="364">
        <f t="shared" si="3"/>
        <v>0</v>
      </c>
      <c r="AA13" s="364">
        <f t="shared" si="4"/>
        <v>0</v>
      </c>
      <c r="AB13" s="364">
        <f t="shared" si="5"/>
        <v>0</v>
      </c>
      <c r="AC13" s="364">
        <f t="shared" si="6"/>
        <v>0</v>
      </c>
      <c r="AD13" s="364">
        <f t="shared" si="7"/>
        <v>0</v>
      </c>
      <c r="AE13" s="364">
        <f t="shared" si="8"/>
        <v>0</v>
      </c>
      <c r="AF13" s="364">
        <f t="shared" si="9"/>
        <v>0</v>
      </c>
      <c r="AG13" s="364">
        <f t="shared" si="10"/>
        <v>53.722000000000001</v>
      </c>
      <c r="AH13" s="364">
        <f t="shared" si="11"/>
        <v>17.766999999999999</v>
      </c>
      <c r="AI13" s="393">
        <f t="shared" si="12"/>
        <v>15.305</v>
      </c>
      <c r="AJ13" s="393">
        <f t="shared" si="13"/>
        <v>-11.211</v>
      </c>
      <c r="AK13" s="393">
        <f t="shared" si="14"/>
        <v>-10.707000000000001</v>
      </c>
      <c r="AL13" s="393">
        <f t="shared" si="15"/>
        <v>-100</v>
      </c>
      <c r="AM13" s="393" t="e">
        <f t="shared" si="16"/>
        <v>#DIV/0!</v>
      </c>
      <c r="AN13" s="393">
        <f t="shared" si="17"/>
        <v>-100</v>
      </c>
      <c r="AO13" s="393" t="e">
        <f t="shared" si="18"/>
        <v>#DIV/0!</v>
      </c>
      <c r="AP13" s="393">
        <f t="shared" si="19"/>
        <v>-100</v>
      </c>
      <c r="AQ13" s="393" t="e">
        <f t="shared" si="20"/>
        <v>#DIV/0!</v>
      </c>
      <c r="AR13" s="393">
        <f t="shared" si="21"/>
        <v>-100</v>
      </c>
      <c r="AS13" s="393" t="e">
        <f t="shared" si="22"/>
        <v>#DIV/0!</v>
      </c>
      <c r="AT13" s="393">
        <f t="shared" si="23"/>
        <v>-100</v>
      </c>
    </row>
    <row r="14" spans="1:46" ht="15.75" customHeight="1" x14ac:dyDescent="0.25">
      <c r="A14" s="361" t="s">
        <v>1025</v>
      </c>
      <c r="B14" s="388"/>
      <c r="C14" s="388"/>
      <c r="D14" s="388"/>
      <c r="E14" s="377"/>
      <c r="F14" s="377"/>
      <c r="G14" s="377"/>
      <c r="H14" s="377"/>
      <c r="I14" s="377"/>
      <c r="J14" s="409"/>
      <c r="K14" s="377"/>
      <c r="L14" s="377"/>
      <c r="M14" s="377"/>
      <c r="N14" s="377"/>
      <c r="O14" s="377"/>
      <c r="P14" s="377"/>
      <c r="Q14" s="377"/>
      <c r="R14" s="377"/>
      <c r="S14" s="377">
        <v>1020</v>
      </c>
      <c r="T14" s="377">
        <v>955</v>
      </c>
      <c r="U14" s="377">
        <v>1026</v>
      </c>
      <c r="V14" s="588"/>
      <c r="W14" s="588">
        <v>1043</v>
      </c>
      <c r="X14" s="588"/>
      <c r="Y14" s="364">
        <f t="shared" si="2"/>
        <v>0</v>
      </c>
      <c r="Z14" s="364">
        <f t="shared" si="3"/>
        <v>0</v>
      </c>
      <c r="AA14" s="364">
        <f t="shared" si="4"/>
        <v>0</v>
      </c>
      <c r="AB14" s="364">
        <f t="shared" si="5"/>
        <v>0</v>
      </c>
      <c r="AC14" s="364">
        <f t="shared" si="6"/>
        <v>0</v>
      </c>
      <c r="AD14" s="364">
        <f t="shared" si="7"/>
        <v>0</v>
      </c>
      <c r="AE14" s="364">
        <f t="shared" si="8"/>
        <v>0</v>
      </c>
      <c r="AF14" s="364">
        <f t="shared" si="9"/>
        <v>0</v>
      </c>
      <c r="AG14" s="364">
        <f t="shared" si="10"/>
        <v>0</v>
      </c>
      <c r="AH14" s="364">
        <f t="shared" si="11"/>
        <v>0</v>
      </c>
      <c r="AI14" s="393" t="e">
        <f t="shared" si="12"/>
        <v>#DIV/0!</v>
      </c>
      <c r="AJ14" s="393" t="e">
        <f t="shared" si="13"/>
        <v>#DIV/0!</v>
      </c>
      <c r="AK14" s="393" t="e">
        <f t="shared" si="14"/>
        <v>#DIV/0!</v>
      </c>
      <c r="AL14" s="393" t="e">
        <f t="shared" si="15"/>
        <v>#DIV/0!</v>
      </c>
      <c r="AM14" s="393" t="e">
        <f t="shared" si="16"/>
        <v>#DIV/0!</v>
      </c>
      <c r="AN14" s="393" t="e">
        <f t="shared" si="17"/>
        <v>#DIV/0!</v>
      </c>
      <c r="AO14" s="393" t="e">
        <f t="shared" si="18"/>
        <v>#DIV/0!</v>
      </c>
      <c r="AP14" s="393">
        <f t="shared" si="19"/>
        <v>-6.3730000000000002</v>
      </c>
      <c r="AQ14" s="393">
        <f t="shared" si="20"/>
        <v>7.4349999999999996</v>
      </c>
      <c r="AR14" s="393">
        <f t="shared" si="21"/>
        <v>-100</v>
      </c>
      <c r="AS14" s="393" t="e">
        <f t="shared" si="22"/>
        <v>#DIV/0!</v>
      </c>
      <c r="AT14" s="393">
        <f t="shared" si="23"/>
        <v>-100</v>
      </c>
    </row>
    <row r="15" spans="1:46" ht="15.75" customHeight="1" x14ac:dyDescent="0.25">
      <c r="A15" s="361" t="s">
        <v>4105</v>
      </c>
      <c r="B15" s="388">
        <f>304*3</f>
        <v>912</v>
      </c>
      <c r="C15" s="388">
        <f>309.25*3</f>
        <v>928</v>
      </c>
      <c r="D15" s="388"/>
      <c r="E15" s="377"/>
      <c r="F15" s="377">
        <v>794</v>
      </c>
      <c r="G15" s="377"/>
      <c r="H15" s="377"/>
      <c r="I15" s="377"/>
      <c r="J15" s="409"/>
      <c r="K15" s="377"/>
      <c r="L15" s="377"/>
      <c r="M15" s="377">
        <v>942</v>
      </c>
      <c r="N15" s="377"/>
      <c r="O15" s="377"/>
      <c r="P15" s="373"/>
      <c r="Q15" s="373"/>
      <c r="R15" s="373"/>
      <c r="S15" s="373">
        <v>1075</v>
      </c>
      <c r="T15" s="373">
        <v>1030</v>
      </c>
      <c r="U15" s="373"/>
      <c r="V15" s="589"/>
      <c r="W15" s="589">
        <v>1035</v>
      </c>
      <c r="X15" s="589"/>
      <c r="Y15" s="364">
        <f t="shared" si="2"/>
        <v>1.802</v>
      </c>
      <c r="Z15" s="364">
        <f t="shared" si="3"/>
        <v>-106.422</v>
      </c>
      <c r="AA15" s="364">
        <f t="shared" si="4"/>
        <v>0</v>
      </c>
      <c r="AB15" s="364">
        <f t="shared" si="5"/>
        <v>44.110999999999997</v>
      </c>
      <c r="AC15" s="364">
        <f t="shared" si="6"/>
        <v>-78.926000000000002</v>
      </c>
      <c r="AD15" s="364">
        <f t="shared" si="7"/>
        <v>0</v>
      </c>
      <c r="AE15" s="364">
        <f t="shared" si="8"/>
        <v>0</v>
      </c>
      <c r="AF15" s="364">
        <f t="shared" si="9"/>
        <v>0</v>
      </c>
      <c r="AG15" s="364">
        <f t="shared" si="10"/>
        <v>0</v>
      </c>
      <c r="AH15" s="364">
        <f t="shared" si="11"/>
        <v>52.332999999999998</v>
      </c>
      <c r="AI15" s="393" t="e">
        <f t="shared" si="12"/>
        <v>#DIV/0!</v>
      </c>
      <c r="AJ15" s="393">
        <f t="shared" si="13"/>
        <v>-100</v>
      </c>
      <c r="AK15" s="393" t="e">
        <f t="shared" si="14"/>
        <v>#DIV/0!</v>
      </c>
      <c r="AL15" s="393" t="e">
        <f t="shared" si="15"/>
        <v>#DIV/0!</v>
      </c>
      <c r="AM15" s="393" t="e">
        <f t="shared" si="16"/>
        <v>#DIV/0!</v>
      </c>
      <c r="AN15" s="393" t="e">
        <f t="shared" si="17"/>
        <v>#DIV/0!</v>
      </c>
      <c r="AO15" s="393" t="e">
        <f t="shared" si="18"/>
        <v>#DIV/0!</v>
      </c>
      <c r="AP15" s="393">
        <f t="shared" si="19"/>
        <v>-4.1859999999999999</v>
      </c>
      <c r="AQ15" s="393">
        <f t="shared" si="20"/>
        <v>-100</v>
      </c>
      <c r="AR15" s="393" t="e">
        <f t="shared" si="21"/>
        <v>#DIV/0!</v>
      </c>
      <c r="AS15" s="393" t="e">
        <f t="shared" si="22"/>
        <v>#DIV/0!</v>
      </c>
      <c r="AT15" s="393">
        <f t="shared" si="23"/>
        <v>-100</v>
      </c>
    </row>
    <row r="16" spans="1:46" ht="15.75" customHeight="1" x14ac:dyDescent="0.25">
      <c r="A16" s="361" t="s">
        <v>2206</v>
      </c>
      <c r="B16" s="389">
        <f>343*3</f>
        <v>1029</v>
      </c>
      <c r="C16" s="389">
        <f>357.5*3</f>
        <v>1073</v>
      </c>
      <c r="D16" s="389">
        <f>359.5*3</f>
        <v>1079</v>
      </c>
      <c r="E16" s="377">
        <v>1051</v>
      </c>
      <c r="F16" s="377">
        <v>1077</v>
      </c>
      <c r="G16" s="377">
        <v>1044</v>
      </c>
      <c r="H16" s="377">
        <v>1048</v>
      </c>
      <c r="I16" s="377">
        <v>1053</v>
      </c>
      <c r="J16" s="409">
        <f>1438/4*3</f>
        <v>1079</v>
      </c>
      <c r="K16" s="377">
        <v>1056</v>
      </c>
      <c r="L16" s="377">
        <v>1035</v>
      </c>
      <c r="M16" s="377">
        <v>1134</v>
      </c>
      <c r="N16" s="377">
        <v>1123</v>
      </c>
      <c r="O16" s="377">
        <v>1136</v>
      </c>
      <c r="P16" s="377">
        <v>1155</v>
      </c>
      <c r="Q16" s="377">
        <v>1134</v>
      </c>
      <c r="R16" s="377">
        <v>1152</v>
      </c>
      <c r="S16" s="377">
        <v>1175</v>
      </c>
      <c r="T16" s="377">
        <v>1176</v>
      </c>
      <c r="U16" s="377">
        <v>1207</v>
      </c>
      <c r="V16" s="588">
        <f>1559/4*3</f>
        <v>1169</v>
      </c>
      <c r="W16" s="588">
        <v>1171</v>
      </c>
      <c r="X16" s="588">
        <v>1126</v>
      </c>
      <c r="Y16" s="364">
        <f t="shared" si="2"/>
        <v>5.7069999999999999</v>
      </c>
      <c r="Z16" s="364">
        <f t="shared" si="3"/>
        <v>0.82499999999999996</v>
      </c>
      <c r="AA16" s="364">
        <f t="shared" si="4"/>
        <v>-3.883</v>
      </c>
      <c r="AB16" s="364">
        <f t="shared" si="5"/>
        <v>3.4710000000000001</v>
      </c>
      <c r="AC16" s="364">
        <f t="shared" si="6"/>
        <v>-4.5640000000000001</v>
      </c>
      <c r="AD16" s="364">
        <f t="shared" si="7"/>
        <v>0.52900000000000003</v>
      </c>
      <c r="AE16" s="364">
        <f t="shared" si="8"/>
        <v>3.4809999999999999</v>
      </c>
      <c r="AF16" s="364">
        <f t="shared" si="9"/>
        <v>-3.19</v>
      </c>
      <c r="AG16" s="364">
        <f t="shared" si="10"/>
        <v>-2.823</v>
      </c>
      <c r="AH16" s="364">
        <f t="shared" si="11"/>
        <v>12.941000000000001</v>
      </c>
      <c r="AI16" s="393">
        <f t="shared" si="12"/>
        <v>9.5649999999999995</v>
      </c>
      <c r="AJ16" s="393">
        <f t="shared" si="13"/>
        <v>-0.97</v>
      </c>
      <c r="AK16" s="393">
        <f t="shared" si="14"/>
        <v>1.1579999999999999</v>
      </c>
      <c r="AL16" s="393">
        <f t="shared" si="15"/>
        <v>1.673</v>
      </c>
      <c r="AM16" s="393">
        <f t="shared" si="16"/>
        <v>-1.8180000000000001</v>
      </c>
      <c r="AN16" s="393">
        <f t="shared" si="17"/>
        <v>1.587</v>
      </c>
      <c r="AO16" s="393">
        <f t="shared" si="18"/>
        <v>1.9970000000000001</v>
      </c>
      <c r="AP16" s="393">
        <f t="shared" si="19"/>
        <v>8.5000000000000006E-2</v>
      </c>
      <c r="AQ16" s="393">
        <f t="shared" si="20"/>
        <v>2.6360000000000001</v>
      </c>
      <c r="AR16" s="393">
        <f t="shared" si="21"/>
        <v>-3.1480000000000001</v>
      </c>
      <c r="AS16" s="393">
        <f t="shared" si="22"/>
        <v>0.17100000000000001</v>
      </c>
      <c r="AT16" s="393">
        <f t="shared" si="23"/>
        <v>-3.843</v>
      </c>
    </row>
    <row r="17" spans="1:46" ht="15.75" customHeight="1" x14ac:dyDescent="0.25">
      <c r="A17" s="355" t="s">
        <v>2199</v>
      </c>
      <c r="B17" s="388"/>
      <c r="C17" s="388">
        <f>454.75*3</f>
        <v>1364</v>
      </c>
      <c r="D17" s="388">
        <f>882/2*3</f>
        <v>1323</v>
      </c>
      <c r="E17" s="377">
        <v>1329</v>
      </c>
      <c r="F17" s="377"/>
      <c r="G17" s="377">
        <v>1335</v>
      </c>
      <c r="H17" s="377">
        <v>1348</v>
      </c>
      <c r="I17" s="377"/>
      <c r="J17" s="409">
        <f>1853/4*3</f>
        <v>1390</v>
      </c>
      <c r="K17" s="377">
        <v>1350</v>
      </c>
      <c r="L17" s="377">
        <v>1383</v>
      </c>
      <c r="M17" s="377">
        <v>1302</v>
      </c>
      <c r="N17" s="377">
        <v>1309</v>
      </c>
      <c r="O17" s="377">
        <v>1270</v>
      </c>
      <c r="P17" s="377">
        <v>1329</v>
      </c>
      <c r="Q17" s="377">
        <v>1424</v>
      </c>
      <c r="R17" s="377"/>
      <c r="S17" s="377">
        <v>1409</v>
      </c>
      <c r="T17" s="377">
        <v>1423</v>
      </c>
      <c r="U17" s="377">
        <v>1454</v>
      </c>
      <c r="V17" s="588">
        <f>1924/4*3</f>
        <v>1443</v>
      </c>
      <c r="W17" s="588">
        <v>1463</v>
      </c>
      <c r="X17" s="588">
        <v>1417</v>
      </c>
      <c r="Y17" s="364">
        <f t="shared" si="2"/>
        <v>75.778000000000006</v>
      </c>
      <c r="Z17" s="364">
        <f t="shared" si="3"/>
        <v>-9.4039999999999999</v>
      </c>
      <c r="AA17" s="364">
        <f t="shared" si="4"/>
        <v>1.258</v>
      </c>
      <c r="AB17" s="364">
        <f t="shared" si="5"/>
        <v>-282.166</v>
      </c>
      <c r="AC17" s="364">
        <f t="shared" si="6"/>
        <v>74.167000000000002</v>
      </c>
      <c r="AD17" s="364">
        <f t="shared" si="7"/>
        <v>2.7959999999999998</v>
      </c>
      <c r="AE17" s="364">
        <f t="shared" si="8"/>
        <v>77.221999999999994</v>
      </c>
      <c r="AF17" s="364">
        <f t="shared" si="9"/>
        <v>-9.7560000000000002</v>
      </c>
      <c r="AG17" s="364">
        <f t="shared" si="10"/>
        <v>7.3330000000000002</v>
      </c>
      <c r="AH17" s="364">
        <f t="shared" si="11"/>
        <v>-19.423999999999999</v>
      </c>
      <c r="AI17" s="393">
        <f t="shared" si="12"/>
        <v>-5.8570000000000002</v>
      </c>
      <c r="AJ17" s="393">
        <f t="shared" si="13"/>
        <v>0.53800000000000003</v>
      </c>
      <c r="AK17" s="393">
        <f t="shared" si="14"/>
        <v>-2.9790000000000001</v>
      </c>
      <c r="AL17" s="393">
        <f t="shared" si="15"/>
        <v>4.6459999999999999</v>
      </c>
      <c r="AM17" s="393">
        <f t="shared" si="16"/>
        <v>7.1479999999999997</v>
      </c>
      <c r="AN17" s="393">
        <f t="shared" si="17"/>
        <v>-100</v>
      </c>
      <c r="AO17" s="393" t="e">
        <f t="shared" si="18"/>
        <v>#DIV/0!</v>
      </c>
      <c r="AP17" s="393">
        <f t="shared" si="19"/>
        <v>0.99399999999999999</v>
      </c>
      <c r="AQ17" s="393">
        <f t="shared" si="20"/>
        <v>2.1779999999999999</v>
      </c>
      <c r="AR17" s="393">
        <f t="shared" si="21"/>
        <v>-0.75700000000000001</v>
      </c>
      <c r="AS17" s="393">
        <f t="shared" si="22"/>
        <v>1.3859999999999999</v>
      </c>
      <c r="AT17" s="393">
        <f t="shared" si="23"/>
        <v>-3.1440000000000001</v>
      </c>
    </row>
    <row r="18" spans="1:46" ht="15.75" customHeight="1" x14ac:dyDescent="0.25">
      <c r="A18" s="361" t="s">
        <v>1150</v>
      </c>
      <c r="B18" s="388"/>
      <c r="C18" s="388"/>
      <c r="D18" s="388"/>
      <c r="E18" s="377"/>
      <c r="F18" s="377"/>
      <c r="G18" s="377"/>
      <c r="H18" s="377"/>
      <c r="I18" s="377"/>
      <c r="J18" s="409"/>
      <c r="K18" s="377"/>
      <c r="L18" s="377"/>
      <c r="M18" s="377"/>
      <c r="N18" s="377"/>
      <c r="O18" s="377"/>
      <c r="P18" s="377"/>
      <c r="Q18" s="377"/>
      <c r="R18" s="377"/>
      <c r="S18" s="377">
        <v>1415</v>
      </c>
      <c r="T18" s="377">
        <v>1253</v>
      </c>
      <c r="U18" s="377">
        <v>1332</v>
      </c>
      <c r="V18" s="588">
        <f>1544/4*3</f>
        <v>1158</v>
      </c>
      <c r="W18" s="588">
        <v>1319</v>
      </c>
      <c r="X18" s="588">
        <v>1280</v>
      </c>
      <c r="Y18" s="364">
        <f t="shared" si="2"/>
        <v>0</v>
      </c>
      <c r="Z18" s="364">
        <f t="shared" si="3"/>
        <v>0</v>
      </c>
      <c r="AA18" s="364">
        <f t="shared" si="4"/>
        <v>0</v>
      </c>
      <c r="AB18" s="364">
        <f t="shared" si="5"/>
        <v>0</v>
      </c>
      <c r="AC18" s="364">
        <f t="shared" si="6"/>
        <v>0</v>
      </c>
      <c r="AD18" s="364">
        <f t="shared" si="7"/>
        <v>0</v>
      </c>
      <c r="AE18" s="364">
        <f t="shared" si="8"/>
        <v>0</v>
      </c>
      <c r="AF18" s="364">
        <f t="shared" si="9"/>
        <v>0</v>
      </c>
      <c r="AG18" s="364">
        <f t="shared" si="10"/>
        <v>0</v>
      </c>
      <c r="AH18" s="364">
        <f t="shared" si="11"/>
        <v>0</v>
      </c>
      <c r="AI18" s="393" t="e">
        <f t="shared" si="12"/>
        <v>#DIV/0!</v>
      </c>
      <c r="AJ18" s="393" t="e">
        <f t="shared" si="13"/>
        <v>#DIV/0!</v>
      </c>
      <c r="AK18" s="393" t="e">
        <f t="shared" si="14"/>
        <v>#DIV/0!</v>
      </c>
      <c r="AL18" s="393" t="e">
        <f t="shared" si="15"/>
        <v>#DIV/0!</v>
      </c>
      <c r="AM18" s="393" t="e">
        <f t="shared" si="16"/>
        <v>#DIV/0!</v>
      </c>
      <c r="AN18" s="393" t="e">
        <f t="shared" si="17"/>
        <v>#DIV/0!</v>
      </c>
      <c r="AO18" s="393" t="e">
        <f t="shared" si="18"/>
        <v>#DIV/0!</v>
      </c>
      <c r="AP18" s="393">
        <f t="shared" si="19"/>
        <v>-11.449</v>
      </c>
      <c r="AQ18" s="393">
        <f t="shared" si="20"/>
        <v>6.3049999999999997</v>
      </c>
      <c r="AR18" s="393">
        <f t="shared" si="21"/>
        <v>-13.063000000000001</v>
      </c>
      <c r="AS18" s="393">
        <f t="shared" si="22"/>
        <v>13.903</v>
      </c>
      <c r="AT18" s="393">
        <f t="shared" si="23"/>
        <v>-2.9569999999999999</v>
      </c>
    </row>
    <row r="19" spans="1:46" ht="15.75" customHeight="1" x14ac:dyDescent="0.25">
      <c r="A19" s="355" t="s">
        <v>2119</v>
      </c>
      <c r="B19" s="388"/>
      <c r="C19" s="388"/>
      <c r="D19" s="388"/>
      <c r="E19" s="377"/>
      <c r="F19" s="377"/>
      <c r="G19" s="377"/>
      <c r="H19" s="377"/>
      <c r="I19" s="377"/>
      <c r="J19" s="409"/>
      <c r="K19" s="377">
        <v>922</v>
      </c>
      <c r="L19" s="377"/>
      <c r="M19" s="377">
        <v>1061</v>
      </c>
      <c r="N19" s="377">
        <v>991</v>
      </c>
      <c r="O19" s="377">
        <v>994</v>
      </c>
      <c r="P19" s="377">
        <v>847</v>
      </c>
      <c r="Q19" s="377">
        <v>929</v>
      </c>
      <c r="R19" s="377">
        <v>845</v>
      </c>
      <c r="S19" s="377">
        <v>1042</v>
      </c>
      <c r="T19" s="377">
        <v>1024</v>
      </c>
      <c r="U19" s="377">
        <v>1001</v>
      </c>
      <c r="V19" s="588">
        <f>1365/4*3</f>
        <v>1024</v>
      </c>
      <c r="W19" s="588">
        <v>1074</v>
      </c>
      <c r="X19" s="588">
        <v>1050</v>
      </c>
      <c r="Y19" s="364">
        <f t="shared" si="2"/>
        <v>0</v>
      </c>
      <c r="Z19" s="364">
        <f t="shared" si="3"/>
        <v>0</v>
      </c>
      <c r="AA19" s="364">
        <f t="shared" si="4"/>
        <v>0</v>
      </c>
      <c r="AB19" s="364">
        <f t="shared" si="5"/>
        <v>0</v>
      </c>
      <c r="AC19" s="364">
        <f t="shared" si="6"/>
        <v>0</v>
      </c>
      <c r="AD19" s="364">
        <f t="shared" si="7"/>
        <v>0</v>
      </c>
      <c r="AE19" s="364">
        <f t="shared" si="8"/>
        <v>0</v>
      </c>
      <c r="AF19" s="364">
        <f t="shared" si="9"/>
        <v>51.222000000000001</v>
      </c>
      <c r="AG19" s="364">
        <f t="shared" si="10"/>
        <v>-105.011</v>
      </c>
      <c r="AH19" s="364">
        <f t="shared" si="11"/>
        <v>58.944000000000003</v>
      </c>
      <c r="AI19" s="393" t="e">
        <f t="shared" si="12"/>
        <v>#DIV/0!</v>
      </c>
      <c r="AJ19" s="393">
        <f t="shared" si="13"/>
        <v>-6.5979999999999999</v>
      </c>
      <c r="AK19" s="393">
        <f t="shared" si="14"/>
        <v>0.30299999999999999</v>
      </c>
      <c r="AL19" s="393">
        <f t="shared" si="15"/>
        <v>-14.789</v>
      </c>
      <c r="AM19" s="393">
        <f t="shared" si="16"/>
        <v>9.6809999999999992</v>
      </c>
      <c r="AN19" s="393">
        <f t="shared" si="17"/>
        <v>-9.0419999999999998</v>
      </c>
      <c r="AO19" s="393">
        <f t="shared" si="18"/>
        <v>23.314</v>
      </c>
      <c r="AP19" s="393">
        <f t="shared" si="19"/>
        <v>-1.7270000000000001</v>
      </c>
      <c r="AQ19" s="393">
        <f t="shared" si="20"/>
        <v>-2.246</v>
      </c>
      <c r="AR19" s="393">
        <f t="shared" si="21"/>
        <v>2.298</v>
      </c>
      <c r="AS19" s="393">
        <f t="shared" si="22"/>
        <v>4.883</v>
      </c>
      <c r="AT19" s="393">
        <f t="shared" si="23"/>
        <v>-2.2349999999999999</v>
      </c>
    </row>
    <row r="20" spans="1:46" ht="15.75" customHeight="1" x14ac:dyDescent="0.25">
      <c r="A20" s="355" t="s">
        <v>2198</v>
      </c>
      <c r="B20" s="388">
        <f>345.5*3</f>
        <v>1037</v>
      </c>
      <c r="C20" s="388">
        <f>329.25*3</f>
        <v>988</v>
      </c>
      <c r="D20" s="388">
        <f>332.5*3</f>
        <v>998</v>
      </c>
      <c r="E20" s="377">
        <v>1057</v>
      </c>
      <c r="F20" s="377">
        <v>1048</v>
      </c>
      <c r="G20" s="377">
        <v>1158</v>
      </c>
      <c r="H20" s="377">
        <v>1128</v>
      </c>
      <c r="I20" s="377">
        <v>1167</v>
      </c>
      <c r="J20" s="409">
        <f>1448/4*3</f>
        <v>1086</v>
      </c>
      <c r="K20" s="377">
        <v>1181</v>
      </c>
      <c r="L20" s="377"/>
      <c r="M20" s="377">
        <v>1228</v>
      </c>
      <c r="N20" s="377">
        <v>1213</v>
      </c>
      <c r="O20" s="377">
        <v>1272</v>
      </c>
      <c r="P20" s="377">
        <v>1238</v>
      </c>
      <c r="Q20" s="377">
        <v>1316</v>
      </c>
      <c r="R20" s="377">
        <v>1161</v>
      </c>
      <c r="S20" s="377">
        <v>1178</v>
      </c>
      <c r="T20" s="377">
        <v>1205</v>
      </c>
      <c r="U20" s="377">
        <v>1179</v>
      </c>
      <c r="V20" s="588"/>
      <c r="W20" s="588">
        <v>1158</v>
      </c>
      <c r="X20" s="588">
        <v>1138</v>
      </c>
      <c r="Y20" s="364">
        <f t="shared" si="2"/>
        <v>-6.4219999999999997</v>
      </c>
      <c r="Z20" s="364">
        <f t="shared" si="3"/>
        <v>1.232</v>
      </c>
      <c r="AA20" s="364">
        <f t="shared" si="4"/>
        <v>7.3570000000000002</v>
      </c>
      <c r="AB20" s="364">
        <f t="shared" si="5"/>
        <v>-1.2110000000000001</v>
      </c>
      <c r="AC20" s="364">
        <f t="shared" si="6"/>
        <v>14.628</v>
      </c>
      <c r="AD20" s="364">
        <f t="shared" si="7"/>
        <v>-4.673</v>
      </c>
      <c r="AE20" s="364">
        <f t="shared" si="8"/>
        <v>-12.795999999999999</v>
      </c>
      <c r="AF20" s="364">
        <f t="shared" si="9"/>
        <v>13.305</v>
      </c>
      <c r="AG20" s="364">
        <f t="shared" si="10"/>
        <v>-190.792</v>
      </c>
      <c r="AH20" s="364">
        <f t="shared" si="11"/>
        <v>68.221999999999994</v>
      </c>
      <c r="AI20" s="393" t="e">
        <f t="shared" si="12"/>
        <v>#DIV/0!</v>
      </c>
      <c r="AJ20" s="393">
        <f t="shared" si="13"/>
        <v>-1.2210000000000001</v>
      </c>
      <c r="AK20" s="393">
        <f t="shared" si="14"/>
        <v>4.8639999999999999</v>
      </c>
      <c r="AL20" s="393">
        <f t="shared" si="15"/>
        <v>-2.673</v>
      </c>
      <c r="AM20" s="393">
        <f t="shared" si="16"/>
        <v>6.3</v>
      </c>
      <c r="AN20" s="393">
        <f t="shared" si="17"/>
        <v>-11.778</v>
      </c>
      <c r="AO20" s="393">
        <f t="shared" si="18"/>
        <v>1.464</v>
      </c>
      <c r="AP20" s="393">
        <f t="shared" si="19"/>
        <v>2.2919999999999998</v>
      </c>
      <c r="AQ20" s="393">
        <f t="shared" si="20"/>
        <v>-2.1579999999999999</v>
      </c>
      <c r="AR20" s="393">
        <f t="shared" si="21"/>
        <v>-100</v>
      </c>
      <c r="AS20" s="393" t="e">
        <f t="shared" si="22"/>
        <v>#DIV/0!</v>
      </c>
      <c r="AT20" s="393">
        <f t="shared" si="23"/>
        <v>-1.7270000000000001</v>
      </c>
    </row>
    <row r="21" spans="1:46" ht="15.75" customHeight="1" x14ac:dyDescent="0.25">
      <c r="A21" s="361" t="s">
        <v>3740</v>
      </c>
      <c r="B21" s="389"/>
      <c r="C21" s="389"/>
      <c r="D21" s="389"/>
      <c r="E21" s="377"/>
      <c r="F21" s="377"/>
      <c r="G21" s="377"/>
      <c r="H21" s="377"/>
      <c r="I21" s="377"/>
      <c r="J21" s="409"/>
      <c r="K21" s="377">
        <v>978</v>
      </c>
      <c r="L21" s="377">
        <v>1019</v>
      </c>
      <c r="M21" s="377">
        <v>1158</v>
      </c>
      <c r="N21" s="377">
        <v>1036</v>
      </c>
      <c r="O21" s="377">
        <v>1090</v>
      </c>
      <c r="P21" s="377">
        <v>1096</v>
      </c>
      <c r="Q21" s="377">
        <v>1144</v>
      </c>
      <c r="R21" s="377">
        <v>1273</v>
      </c>
      <c r="S21" s="377">
        <v>1200</v>
      </c>
      <c r="T21" s="377">
        <v>1270</v>
      </c>
      <c r="U21" s="377"/>
      <c r="V21" s="588">
        <f>1575/4*3</f>
        <v>1181</v>
      </c>
      <c r="W21" s="588">
        <v>1264</v>
      </c>
      <c r="X21" s="588">
        <v>1249</v>
      </c>
      <c r="Y21" s="364">
        <f t="shared" si="2"/>
        <v>0</v>
      </c>
      <c r="Z21" s="364">
        <f t="shared" si="3"/>
        <v>0</v>
      </c>
      <c r="AA21" s="364">
        <f t="shared" si="4"/>
        <v>0</v>
      </c>
      <c r="AB21" s="364">
        <f t="shared" si="5"/>
        <v>0</v>
      </c>
      <c r="AC21" s="364">
        <f t="shared" si="6"/>
        <v>0</v>
      </c>
      <c r="AD21" s="364">
        <f t="shared" si="7"/>
        <v>0</v>
      </c>
      <c r="AE21" s="364">
        <f t="shared" si="8"/>
        <v>0</v>
      </c>
      <c r="AF21" s="364">
        <f t="shared" si="9"/>
        <v>54.332999999999998</v>
      </c>
      <c r="AG21" s="364">
        <f t="shared" si="10"/>
        <v>4.9880000000000004</v>
      </c>
      <c r="AH21" s="364">
        <f t="shared" si="11"/>
        <v>17.797999999999998</v>
      </c>
      <c r="AI21" s="393">
        <f t="shared" si="12"/>
        <v>13.641</v>
      </c>
      <c r="AJ21" s="393">
        <f t="shared" si="13"/>
        <v>-10.535</v>
      </c>
      <c r="AK21" s="393">
        <f t="shared" si="14"/>
        <v>5.2119999999999997</v>
      </c>
      <c r="AL21" s="393">
        <f t="shared" si="15"/>
        <v>0.55000000000000004</v>
      </c>
      <c r="AM21" s="393">
        <f t="shared" si="16"/>
        <v>4.38</v>
      </c>
      <c r="AN21" s="393">
        <f t="shared" si="17"/>
        <v>11.276</v>
      </c>
      <c r="AO21" s="393">
        <f t="shared" si="18"/>
        <v>-5.734</v>
      </c>
      <c r="AP21" s="393">
        <f t="shared" si="19"/>
        <v>5.8330000000000002</v>
      </c>
      <c r="AQ21" s="393">
        <f t="shared" si="20"/>
        <v>-100</v>
      </c>
      <c r="AR21" s="393" t="e">
        <f t="shared" si="21"/>
        <v>#DIV/0!</v>
      </c>
      <c r="AS21" s="393">
        <f t="shared" si="22"/>
        <v>7.0279999999999996</v>
      </c>
      <c r="AT21" s="393">
        <f t="shared" si="23"/>
        <v>-1.1870000000000001</v>
      </c>
    </row>
    <row r="22" spans="1:46" ht="15.75" customHeight="1" x14ac:dyDescent="0.25">
      <c r="A22" s="361" t="s">
        <v>1912</v>
      </c>
      <c r="B22" s="388">
        <f>365.5*3</f>
        <v>1097</v>
      </c>
      <c r="C22" s="389">
        <f>376.75*3</f>
        <v>1130</v>
      </c>
      <c r="D22" s="389">
        <f>330*3</f>
        <v>990</v>
      </c>
      <c r="E22" s="377">
        <v>978</v>
      </c>
      <c r="F22" s="377">
        <v>1112</v>
      </c>
      <c r="G22" s="377">
        <v>1097</v>
      </c>
      <c r="H22" s="377">
        <v>1062</v>
      </c>
      <c r="I22" s="377">
        <v>1059</v>
      </c>
      <c r="J22" s="409">
        <f>1399/4*3</f>
        <v>1049</v>
      </c>
      <c r="K22" s="377">
        <v>1076</v>
      </c>
      <c r="L22" s="377">
        <v>1157</v>
      </c>
      <c r="M22" s="377">
        <v>1155</v>
      </c>
      <c r="N22" s="377">
        <v>1076</v>
      </c>
      <c r="O22" s="377"/>
      <c r="P22" s="373">
        <v>1081</v>
      </c>
      <c r="Q22" s="373">
        <v>1125</v>
      </c>
      <c r="R22" s="373">
        <v>1158</v>
      </c>
      <c r="S22" s="373">
        <v>1249</v>
      </c>
      <c r="T22" s="373">
        <v>1201</v>
      </c>
      <c r="U22" s="373">
        <v>1229</v>
      </c>
      <c r="V22" s="589">
        <f>1577/4*3</f>
        <v>1183</v>
      </c>
      <c r="W22" s="589">
        <v>1185</v>
      </c>
      <c r="X22" s="589">
        <v>1179</v>
      </c>
      <c r="Y22" s="364">
        <f t="shared" si="2"/>
        <v>4.694</v>
      </c>
      <c r="Z22" s="364">
        <f t="shared" si="3"/>
        <v>-20.896000000000001</v>
      </c>
      <c r="AA22" s="364">
        <f t="shared" si="4"/>
        <v>-1.4810000000000001</v>
      </c>
      <c r="AB22" s="364">
        <f t="shared" si="5"/>
        <v>16.302</v>
      </c>
      <c r="AC22" s="364">
        <f t="shared" si="6"/>
        <v>-2.1800000000000002</v>
      </c>
      <c r="AD22" s="364">
        <f t="shared" si="7"/>
        <v>-4.9790000000000001</v>
      </c>
      <c r="AE22" s="364">
        <f t="shared" si="8"/>
        <v>-1.35</v>
      </c>
      <c r="AF22" s="364">
        <f t="shared" si="9"/>
        <v>3.5950000000000002</v>
      </c>
      <c r="AG22" s="364">
        <f t="shared" si="10"/>
        <v>11.188000000000001</v>
      </c>
      <c r="AH22" s="364">
        <f t="shared" si="11"/>
        <v>-0.311</v>
      </c>
      <c r="AI22" s="393">
        <f t="shared" si="12"/>
        <v>-0.17299999999999999</v>
      </c>
      <c r="AJ22" s="393">
        <f t="shared" si="13"/>
        <v>-6.84</v>
      </c>
      <c r="AK22" s="393">
        <f t="shared" si="14"/>
        <v>-100</v>
      </c>
      <c r="AL22" s="393" t="e">
        <f t="shared" si="15"/>
        <v>#DIV/0!</v>
      </c>
      <c r="AM22" s="393">
        <f t="shared" si="16"/>
        <v>4.07</v>
      </c>
      <c r="AN22" s="393">
        <f t="shared" si="17"/>
        <v>2.9329999999999998</v>
      </c>
      <c r="AO22" s="393">
        <f t="shared" si="18"/>
        <v>7.8579999999999997</v>
      </c>
      <c r="AP22" s="393">
        <f t="shared" si="19"/>
        <v>-3.843</v>
      </c>
      <c r="AQ22" s="393">
        <f t="shared" si="20"/>
        <v>2.331</v>
      </c>
      <c r="AR22" s="393">
        <f t="shared" si="21"/>
        <v>-3.7429999999999999</v>
      </c>
      <c r="AS22" s="393">
        <f t="shared" si="22"/>
        <v>0.16900000000000001</v>
      </c>
      <c r="AT22" s="393">
        <f t="shared" si="23"/>
        <v>-0.50600000000000001</v>
      </c>
    </row>
    <row r="23" spans="1:46" ht="15.75" customHeight="1" x14ac:dyDescent="0.25">
      <c r="A23" s="355" t="s">
        <v>2118</v>
      </c>
      <c r="B23" s="388"/>
      <c r="C23" s="388">
        <f>267*3</f>
        <v>801</v>
      </c>
      <c r="D23" s="388">
        <f>261.5*3</f>
        <v>785</v>
      </c>
      <c r="E23" s="377"/>
      <c r="F23" s="377">
        <v>841</v>
      </c>
      <c r="G23" s="377">
        <v>916</v>
      </c>
      <c r="H23" s="377"/>
      <c r="I23" s="377"/>
      <c r="J23" s="409"/>
      <c r="K23" s="377"/>
      <c r="L23" s="377">
        <v>926</v>
      </c>
      <c r="M23" s="377">
        <v>945</v>
      </c>
      <c r="N23" s="377">
        <v>964</v>
      </c>
      <c r="O23" s="377">
        <v>996</v>
      </c>
      <c r="P23" s="377">
        <v>987</v>
      </c>
      <c r="Q23" s="377">
        <v>1015</v>
      </c>
      <c r="R23" s="377">
        <v>1046</v>
      </c>
      <c r="S23" s="377">
        <v>1058</v>
      </c>
      <c r="T23" s="377">
        <v>1087</v>
      </c>
      <c r="U23" s="377">
        <v>1053</v>
      </c>
      <c r="V23" s="588">
        <f>1461/4*3</f>
        <v>1096</v>
      </c>
      <c r="W23" s="588">
        <v>1156</v>
      </c>
      <c r="X23" s="588">
        <v>1151</v>
      </c>
      <c r="Y23" s="364">
        <f t="shared" si="2"/>
        <v>44.5</v>
      </c>
      <c r="Z23" s="364">
        <f t="shared" si="3"/>
        <v>-1.6020000000000001</v>
      </c>
      <c r="AA23" s="364">
        <f t="shared" si="4"/>
        <v>-77.34</v>
      </c>
      <c r="AB23" s="364">
        <f t="shared" si="5"/>
        <v>46.722000000000001</v>
      </c>
      <c r="AC23" s="364">
        <f t="shared" si="6"/>
        <v>7.8209999999999997</v>
      </c>
      <c r="AD23" s="364">
        <f t="shared" si="7"/>
        <v>-103.62</v>
      </c>
      <c r="AE23" s="364">
        <f t="shared" si="8"/>
        <v>0</v>
      </c>
      <c r="AF23" s="364">
        <f t="shared" si="9"/>
        <v>0</v>
      </c>
      <c r="AG23" s="364">
        <f t="shared" si="10"/>
        <v>51.444000000000003</v>
      </c>
      <c r="AH23" s="364">
        <f t="shared" si="11"/>
        <v>2.1739999999999999</v>
      </c>
      <c r="AI23" s="393">
        <f t="shared" si="12"/>
        <v>2.052</v>
      </c>
      <c r="AJ23" s="393">
        <f t="shared" si="13"/>
        <v>2.0110000000000001</v>
      </c>
      <c r="AK23" s="393">
        <f t="shared" si="14"/>
        <v>3.32</v>
      </c>
      <c r="AL23" s="393">
        <f t="shared" si="15"/>
        <v>-0.90400000000000003</v>
      </c>
      <c r="AM23" s="393">
        <f t="shared" si="16"/>
        <v>2.8370000000000002</v>
      </c>
      <c r="AN23" s="393">
        <f t="shared" si="17"/>
        <v>3.0539999999999998</v>
      </c>
      <c r="AO23" s="393">
        <f t="shared" si="18"/>
        <v>1.147</v>
      </c>
      <c r="AP23" s="393">
        <f t="shared" si="19"/>
        <v>2.7410000000000001</v>
      </c>
      <c r="AQ23" s="393">
        <f t="shared" si="20"/>
        <v>-3.1280000000000001</v>
      </c>
      <c r="AR23" s="393">
        <f t="shared" si="21"/>
        <v>4.0839999999999996</v>
      </c>
      <c r="AS23" s="393">
        <f t="shared" si="22"/>
        <v>5.4740000000000002</v>
      </c>
      <c r="AT23" s="393">
        <f t="shared" si="23"/>
        <v>-0.433</v>
      </c>
    </row>
    <row r="24" spans="1:46" ht="15.75" customHeight="1" x14ac:dyDescent="0.25">
      <c r="A24" s="355" t="s">
        <v>2200</v>
      </c>
      <c r="B24" s="388">
        <f>437*3</f>
        <v>1311</v>
      </c>
      <c r="C24" s="388"/>
      <c r="D24" s="388"/>
      <c r="E24" s="377">
        <v>1216</v>
      </c>
      <c r="F24" s="377">
        <v>1122</v>
      </c>
      <c r="G24" s="377">
        <v>1185</v>
      </c>
      <c r="H24" s="377">
        <v>1152</v>
      </c>
      <c r="I24" s="377">
        <v>1207</v>
      </c>
      <c r="J24" s="409">
        <f>1567/4*3</f>
        <v>1175</v>
      </c>
      <c r="K24" s="377">
        <v>1198</v>
      </c>
      <c r="L24" s="377">
        <v>1206</v>
      </c>
      <c r="M24" s="377">
        <v>1187</v>
      </c>
      <c r="N24" s="377">
        <v>1204</v>
      </c>
      <c r="O24" s="377">
        <v>1233</v>
      </c>
      <c r="P24" s="377">
        <v>1133</v>
      </c>
      <c r="Q24" s="377"/>
      <c r="R24" s="377">
        <v>1217</v>
      </c>
      <c r="S24" s="377">
        <v>1284</v>
      </c>
      <c r="T24" s="377">
        <v>1271</v>
      </c>
      <c r="U24" s="377">
        <v>1222</v>
      </c>
      <c r="V24" s="588">
        <f>1550/4*3</f>
        <v>1163</v>
      </c>
      <c r="W24" s="588">
        <v>1158</v>
      </c>
      <c r="X24" s="588">
        <v>1155</v>
      </c>
      <c r="Y24" s="364">
        <f t="shared" si="2"/>
        <v>-268.09800000000001</v>
      </c>
      <c r="Z24" s="364">
        <f t="shared" si="3"/>
        <v>0</v>
      </c>
      <c r="AA24" s="364">
        <f t="shared" si="4"/>
        <v>67.555999999999997</v>
      </c>
      <c r="AB24" s="364">
        <f t="shared" si="5"/>
        <v>-16.096</v>
      </c>
      <c r="AC24" s="364">
        <f t="shared" si="6"/>
        <v>9.2919999999999998</v>
      </c>
      <c r="AD24" s="364">
        <f t="shared" si="7"/>
        <v>-5.3659999999999997</v>
      </c>
      <c r="AE24" s="364">
        <f t="shared" si="8"/>
        <v>-5.3959999999999999</v>
      </c>
      <c r="AF24" s="364">
        <f t="shared" si="9"/>
        <v>3.68</v>
      </c>
      <c r="AG24" s="364">
        <f t="shared" si="10"/>
        <v>1.329</v>
      </c>
      <c r="AH24" s="364">
        <f t="shared" si="11"/>
        <v>-3.1989999999999998</v>
      </c>
      <c r="AI24" s="393">
        <f t="shared" si="12"/>
        <v>-1.575</v>
      </c>
      <c r="AJ24" s="393">
        <f t="shared" si="13"/>
        <v>1.4319999999999999</v>
      </c>
      <c r="AK24" s="393">
        <f t="shared" si="14"/>
        <v>2.4089999999999998</v>
      </c>
      <c r="AL24" s="393">
        <f t="shared" si="15"/>
        <v>-8.11</v>
      </c>
      <c r="AM24" s="393">
        <f t="shared" si="16"/>
        <v>-100</v>
      </c>
      <c r="AN24" s="393" t="e">
        <f t="shared" si="17"/>
        <v>#DIV/0!</v>
      </c>
      <c r="AO24" s="393">
        <f t="shared" si="18"/>
        <v>5.5049999999999999</v>
      </c>
      <c r="AP24" s="393">
        <f t="shared" si="19"/>
        <v>-1.012</v>
      </c>
      <c r="AQ24" s="393">
        <f t="shared" si="20"/>
        <v>-3.855</v>
      </c>
      <c r="AR24" s="393">
        <f t="shared" si="21"/>
        <v>-4.8280000000000003</v>
      </c>
      <c r="AS24" s="393">
        <f t="shared" si="22"/>
        <v>-0.43</v>
      </c>
      <c r="AT24" s="393">
        <f t="shared" si="23"/>
        <v>-0.25900000000000001</v>
      </c>
    </row>
    <row r="25" spans="1:46" ht="15.75" customHeight="1" x14ac:dyDescent="0.25">
      <c r="A25" s="355" t="s">
        <v>4298</v>
      </c>
      <c r="B25" s="388">
        <f>346*3</f>
        <v>1038</v>
      </c>
      <c r="C25" s="388">
        <f>350*3</f>
        <v>1050</v>
      </c>
      <c r="D25" s="388">
        <f>344*3</f>
        <v>1032</v>
      </c>
      <c r="E25" s="377">
        <v>972</v>
      </c>
      <c r="F25" s="377">
        <v>799</v>
      </c>
      <c r="G25" s="377"/>
      <c r="H25" s="377"/>
      <c r="I25" s="377"/>
      <c r="J25" s="409"/>
      <c r="K25" s="377"/>
      <c r="L25" s="377">
        <v>979</v>
      </c>
      <c r="M25" s="377">
        <v>1007</v>
      </c>
      <c r="N25" s="377">
        <v>1063</v>
      </c>
      <c r="O25" s="377">
        <v>1005</v>
      </c>
      <c r="P25" s="377">
        <v>1073</v>
      </c>
      <c r="Q25" s="377">
        <v>1075</v>
      </c>
      <c r="R25" s="377">
        <v>1143</v>
      </c>
      <c r="S25" s="377">
        <v>1145</v>
      </c>
      <c r="T25" s="377">
        <v>1156</v>
      </c>
      <c r="U25" s="377">
        <v>1162</v>
      </c>
      <c r="V25" s="588">
        <f>1636/4*3</f>
        <v>1227</v>
      </c>
      <c r="W25" s="588">
        <v>1214</v>
      </c>
      <c r="X25" s="588">
        <v>1214</v>
      </c>
      <c r="Y25" s="364">
        <f t="shared" si="2"/>
        <v>1.575</v>
      </c>
      <c r="Z25" s="364">
        <f t="shared" si="3"/>
        <v>-2.4</v>
      </c>
      <c r="AA25" s="364">
        <f t="shared" si="4"/>
        <v>-7.8129999999999997</v>
      </c>
      <c r="AB25" s="364">
        <f t="shared" si="5"/>
        <v>-20.893999999999998</v>
      </c>
      <c r="AC25" s="364">
        <f t="shared" si="6"/>
        <v>-79.819999999999993</v>
      </c>
      <c r="AD25" s="364">
        <f t="shared" si="7"/>
        <v>0</v>
      </c>
      <c r="AE25" s="364">
        <f t="shared" si="8"/>
        <v>0</v>
      </c>
      <c r="AF25" s="364">
        <f t="shared" si="9"/>
        <v>0</v>
      </c>
      <c r="AG25" s="364">
        <f t="shared" si="10"/>
        <v>54.389000000000003</v>
      </c>
      <c r="AH25" s="364">
        <f t="shared" si="11"/>
        <v>3.41</v>
      </c>
      <c r="AI25" s="393">
        <f t="shared" si="12"/>
        <v>2.86</v>
      </c>
      <c r="AJ25" s="393">
        <f t="shared" si="13"/>
        <v>5.5609999999999999</v>
      </c>
      <c r="AK25" s="393">
        <f t="shared" si="14"/>
        <v>-5.4560000000000004</v>
      </c>
      <c r="AL25" s="393">
        <f t="shared" si="15"/>
        <v>6.766</v>
      </c>
      <c r="AM25" s="393">
        <f t="shared" si="16"/>
        <v>0.186</v>
      </c>
      <c r="AN25" s="393">
        <f t="shared" si="17"/>
        <v>6.3259999999999996</v>
      </c>
      <c r="AO25" s="393">
        <f t="shared" si="18"/>
        <v>0.17499999999999999</v>
      </c>
      <c r="AP25" s="393">
        <f t="shared" si="19"/>
        <v>0.96099999999999997</v>
      </c>
      <c r="AQ25" s="393">
        <f t="shared" si="20"/>
        <v>0.51900000000000002</v>
      </c>
      <c r="AR25" s="393">
        <f t="shared" si="21"/>
        <v>5.5940000000000003</v>
      </c>
      <c r="AS25" s="393">
        <f t="shared" si="22"/>
        <v>-1.0589999999999999</v>
      </c>
      <c r="AT25" s="393">
        <f t="shared" si="23"/>
        <v>0</v>
      </c>
    </row>
    <row r="26" spans="1:46" ht="15.75" customHeight="1" x14ac:dyDescent="0.25">
      <c r="A26" s="355" t="s">
        <v>2203</v>
      </c>
      <c r="B26" s="388">
        <f>319.5*3</f>
        <v>959</v>
      </c>
      <c r="C26" s="388">
        <f>306.5*3</f>
        <v>920</v>
      </c>
      <c r="D26" s="388">
        <f>268*3</f>
        <v>804</v>
      </c>
      <c r="E26" s="377">
        <v>999</v>
      </c>
      <c r="F26" s="377">
        <v>1084</v>
      </c>
      <c r="G26" s="377">
        <v>948</v>
      </c>
      <c r="H26" s="377"/>
      <c r="I26" s="377"/>
      <c r="J26" s="409">
        <f>1369/4*3</f>
        <v>1027</v>
      </c>
      <c r="K26" s="377">
        <v>1024</v>
      </c>
      <c r="L26" s="377">
        <v>1153</v>
      </c>
      <c r="M26" s="377">
        <v>1203</v>
      </c>
      <c r="N26" s="377">
        <v>1209</v>
      </c>
      <c r="O26" s="377">
        <v>1188</v>
      </c>
      <c r="P26" s="377">
        <v>1195</v>
      </c>
      <c r="Q26" s="377">
        <v>1197</v>
      </c>
      <c r="R26" s="377">
        <v>1201</v>
      </c>
      <c r="S26" s="377">
        <v>1275</v>
      </c>
      <c r="T26" s="377">
        <v>1222</v>
      </c>
      <c r="U26" s="377">
        <v>1238</v>
      </c>
      <c r="V26" s="588">
        <f>1717/4*3</f>
        <v>1288</v>
      </c>
      <c r="W26" s="588">
        <v>1250</v>
      </c>
      <c r="X26" s="588">
        <v>1255</v>
      </c>
      <c r="Y26" s="364">
        <f t="shared" si="2"/>
        <v>-4.6369999999999996</v>
      </c>
      <c r="Z26" s="364">
        <f t="shared" si="3"/>
        <v>-13.182</v>
      </c>
      <c r="AA26" s="364">
        <f t="shared" si="4"/>
        <v>19.577999999999999</v>
      </c>
      <c r="AB26" s="364">
        <f t="shared" si="5"/>
        <v>10.612</v>
      </c>
      <c r="AC26" s="364">
        <f t="shared" si="6"/>
        <v>-18.994</v>
      </c>
      <c r="AD26" s="364">
        <f t="shared" si="7"/>
        <v>-111.268</v>
      </c>
      <c r="AE26" s="364">
        <f t="shared" si="8"/>
        <v>57.055999999999997</v>
      </c>
      <c r="AF26" s="364">
        <f t="shared" si="9"/>
        <v>-0.38800000000000001</v>
      </c>
      <c r="AG26" s="364">
        <f t="shared" si="10"/>
        <v>16.623999999999999</v>
      </c>
      <c r="AH26" s="364">
        <f t="shared" si="11"/>
        <v>7.7279999999999998</v>
      </c>
      <c r="AI26" s="393">
        <f t="shared" si="12"/>
        <v>4.3369999999999997</v>
      </c>
      <c r="AJ26" s="393">
        <f t="shared" si="13"/>
        <v>0.499</v>
      </c>
      <c r="AK26" s="393">
        <f t="shared" si="14"/>
        <v>-1.7370000000000001</v>
      </c>
      <c r="AL26" s="393">
        <f t="shared" si="15"/>
        <v>0.58899999999999997</v>
      </c>
      <c r="AM26" s="393">
        <f t="shared" si="16"/>
        <v>0.16700000000000001</v>
      </c>
      <c r="AN26" s="393">
        <f t="shared" si="17"/>
        <v>0.33400000000000002</v>
      </c>
      <c r="AO26" s="393">
        <f t="shared" si="18"/>
        <v>6.1619999999999999</v>
      </c>
      <c r="AP26" s="393">
        <f t="shared" si="19"/>
        <v>-4.157</v>
      </c>
      <c r="AQ26" s="393">
        <f t="shared" si="20"/>
        <v>1.3089999999999999</v>
      </c>
      <c r="AR26" s="393">
        <f t="shared" si="21"/>
        <v>4.0389999999999997</v>
      </c>
      <c r="AS26" s="393">
        <f t="shared" si="22"/>
        <v>-2.95</v>
      </c>
      <c r="AT26" s="393">
        <f t="shared" si="23"/>
        <v>0.4</v>
      </c>
    </row>
    <row r="27" spans="1:46" ht="15.75" customHeight="1" x14ac:dyDescent="0.25">
      <c r="A27" s="355" t="s">
        <v>4489</v>
      </c>
      <c r="B27" s="388"/>
      <c r="C27" s="388"/>
      <c r="D27" s="388"/>
      <c r="E27" s="377"/>
      <c r="F27" s="377"/>
      <c r="G27" s="377"/>
      <c r="H27" s="377"/>
      <c r="I27" s="377"/>
      <c r="J27" s="409"/>
      <c r="K27" s="377"/>
      <c r="L27" s="377"/>
      <c r="M27" s="377"/>
      <c r="N27" s="377"/>
      <c r="O27" s="377"/>
      <c r="P27" s="373"/>
      <c r="Q27" s="373"/>
      <c r="R27" s="373"/>
      <c r="S27" s="373"/>
      <c r="T27" s="373"/>
      <c r="U27" s="373"/>
      <c r="V27" s="589">
        <f>1808/4*3</f>
        <v>1356</v>
      </c>
      <c r="W27" s="589">
        <v>1438</v>
      </c>
      <c r="X27" s="589">
        <v>1448</v>
      </c>
      <c r="Y27" s="364">
        <f t="shared" si="2"/>
        <v>0</v>
      </c>
      <c r="Z27" s="364">
        <f t="shared" si="3"/>
        <v>0</v>
      </c>
      <c r="AA27" s="364">
        <f t="shared" si="4"/>
        <v>0</v>
      </c>
      <c r="AB27" s="364">
        <f t="shared" si="5"/>
        <v>0</v>
      </c>
      <c r="AC27" s="364">
        <f t="shared" si="6"/>
        <v>0</v>
      </c>
      <c r="AD27" s="364">
        <f t="shared" si="7"/>
        <v>0</v>
      </c>
      <c r="AE27" s="364">
        <f t="shared" si="8"/>
        <v>0</v>
      </c>
      <c r="AF27" s="364">
        <f t="shared" si="9"/>
        <v>0</v>
      </c>
      <c r="AG27" s="364">
        <f t="shared" si="10"/>
        <v>0</v>
      </c>
      <c r="AH27" s="364">
        <f t="shared" si="11"/>
        <v>0</v>
      </c>
      <c r="AI27" s="393" t="e">
        <f t="shared" si="12"/>
        <v>#DIV/0!</v>
      </c>
      <c r="AJ27" s="393" t="e">
        <f t="shared" si="13"/>
        <v>#DIV/0!</v>
      </c>
      <c r="AK27" s="393" t="e">
        <f t="shared" si="14"/>
        <v>#DIV/0!</v>
      </c>
      <c r="AL27" s="393" t="e">
        <f t="shared" si="15"/>
        <v>#DIV/0!</v>
      </c>
      <c r="AM27" s="393" t="e">
        <f t="shared" si="16"/>
        <v>#DIV/0!</v>
      </c>
      <c r="AN27" s="393" t="e">
        <f t="shared" si="17"/>
        <v>#DIV/0!</v>
      </c>
      <c r="AO27" s="393" t="e">
        <f t="shared" si="18"/>
        <v>#DIV/0!</v>
      </c>
      <c r="AP27" s="393" t="e">
        <f t="shared" si="19"/>
        <v>#DIV/0!</v>
      </c>
      <c r="AQ27" s="393" t="e">
        <f t="shared" si="20"/>
        <v>#DIV/0!</v>
      </c>
      <c r="AR27" s="393" t="e">
        <f t="shared" si="21"/>
        <v>#DIV/0!</v>
      </c>
      <c r="AS27" s="393">
        <f t="shared" si="22"/>
        <v>6.0469999999999997</v>
      </c>
      <c r="AT27" s="393">
        <f t="shared" si="23"/>
        <v>0.69499999999999995</v>
      </c>
    </row>
    <row r="28" spans="1:46" ht="15.75" customHeight="1" x14ac:dyDescent="0.25">
      <c r="A28" s="355" t="s">
        <v>2208</v>
      </c>
      <c r="B28" s="388">
        <f>333*3</f>
        <v>999</v>
      </c>
      <c r="C28" s="388">
        <f>361.5*3</f>
        <v>1085</v>
      </c>
      <c r="D28" s="388">
        <f>363.5*3</f>
        <v>1091</v>
      </c>
      <c r="E28" s="377">
        <v>1147</v>
      </c>
      <c r="F28" s="377">
        <v>1032</v>
      </c>
      <c r="G28" s="377">
        <v>1015</v>
      </c>
      <c r="H28" s="377">
        <v>898</v>
      </c>
      <c r="I28" s="377">
        <v>1027</v>
      </c>
      <c r="J28" s="409">
        <f>1386/4*3</f>
        <v>1040</v>
      </c>
      <c r="K28" s="377">
        <v>1062</v>
      </c>
      <c r="L28" s="377">
        <v>1060</v>
      </c>
      <c r="M28" s="377">
        <v>1153</v>
      </c>
      <c r="N28" s="377">
        <v>1105</v>
      </c>
      <c r="O28" s="377">
        <v>1068</v>
      </c>
      <c r="P28" s="377">
        <v>1078</v>
      </c>
      <c r="Q28" s="377">
        <v>1138</v>
      </c>
      <c r="R28" s="377">
        <v>1141</v>
      </c>
      <c r="S28" s="377">
        <v>1113</v>
      </c>
      <c r="T28" s="377">
        <v>1122</v>
      </c>
      <c r="U28" s="377"/>
      <c r="V28" s="588">
        <f>1520/4*3</f>
        <v>1140</v>
      </c>
      <c r="W28" s="588">
        <v>1196</v>
      </c>
      <c r="X28" s="588">
        <v>1209</v>
      </c>
      <c r="Y28" s="364">
        <f t="shared" si="2"/>
        <v>10.737</v>
      </c>
      <c r="Z28" s="364">
        <f t="shared" si="3"/>
        <v>0.83899999999999997</v>
      </c>
      <c r="AA28" s="364">
        <f t="shared" si="4"/>
        <v>7.8979999999999997</v>
      </c>
      <c r="AB28" s="364">
        <f t="shared" si="5"/>
        <v>-17.611000000000001</v>
      </c>
      <c r="AC28" s="364">
        <f t="shared" si="6"/>
        <v>-2.214</v>
      </c>
      <c r="AD28" s="364">
        <f t="shared" si="7"/>
        <v>-14.904</v>
      </c>
      <c r="AE28" s="364">
        <f t="shared" si="8"/>
        <v>1.6819999999999999</v>
      </c>
      <c r="AF28" s="364">
        <f t="shared" si="9"/>
        <v>2.895</v>
      </c>
      <c r="AG28" s="364">
        <f t="shared" si="10"/>
        <v>-0.27100000000000002</v>
      </c>
      <c r="AH28" s="364">
        <f t="shared" si="11"/>
        <v>12.568</v>
      </c>
      <c r="AI28" s="393">
        <f t="shared" si="12"/>
        <v>8.7739999999999991</v>
      </c>
      <c r="AJ28" s="393">
        <f t="shared" si="13"/>
        <v>-4.1630000000000003</v>
      </c>
      <c r="AK28" s="393">
        <f t="shared" si="14"/>
        <v>-3.3479999999999999</v>
      </c>
      <c r="AL28" s="393">
        <f t="shared" si="15"/>
        <v>0.93600000000000005</v>
      </c>
      <c r="AM28" s="393">
        <f t="shared" si="16"/>
        <v>5.5659999999999998</v>
      </c>
      <c r="AN28" s="393">
        <f t="shared" si="17"/>
        <v>0.26400000000000001</v>
      </c>
      <c r="AO28" s="393">
        <f t="shared" si="18"/>
        <v>-2.4540000000000002</v>
      </c>
      <c r="AP28" s="393">
        <f t="shared" si="19"/>
        <v>0.80900000000000005</v>
      </c>
      <c r="AQ28" s="393">
        <f t="shared" si="20"/>
        <v>-100</v>
      </c>
      <c r="AR28" s="393" t="e">
        <f t="shared" si="21"/>
        <v>#DIV/0!</v>
      </c>
      <c r="AS28" s="393">
        <f t="shared" si="22"/>
        <v>4.9119999999999999</v>
      </c>
      <c r="AT28" s="393">
        <f t="shared" si="23"/>
        <v>1.087</v>
      </c>
    </row>
    <row r="29" spans="1:46" ht="15.75" customHeight="1" x14ac:dyDescent="0.25">
      <c r="A29" s="361" t="s">
        <v>3747</v>
      </c>
      <c r="B29" s="389"/>
      <c r="C29" s="389"/>
      <c r="D29" s="389"/>
      <c r="E29" s="377"/>
      <c r="F29" s="377">
        <v>1286</v>
      </c>
      <c r="G29" s="377">
        <v>1253</v>
      </c>
      <c r="H29" s="377">
        <v>1305</v>
      </c>
      <c r="I29" s="377">
        <v>1311</v>
      </c>
      <c r="J29" s="409">
        <f>1625/4*3</f>
        <v>1219</v>
      </c>
      <c r="K29" s="377">
        <v>1187</v>
      </c>
      <c r="L29" s="377">
        <v>1295</v>
      </c>
      <c r="M29" s="377">
        <v>1335</v>
      </c>
      <c r="N29" s="377">
        <v>1320</v>
      </c>
      <c r="O29" s="377">
        <v>1299</v>
      </c>
      <c r="P29" s="377">
        <v>1265</v>
      </c>
      <c r="Q29" s="377">
        <v>1375</v>
      </c>
      <c r="R29" s="377">
        <v>1390</v>
      </c>
      <c r="S29" s="377">
        <v>1410</v>
      </c>
      <c r="T29" s="377">
        <v>1376</v>
      </c>
      <c r="U29" s="377">
        <v>1393</v>
      </c>
      <c r="V29" s="588">
        <f>1900/4*3</f>
        <v>1425</v>
      </c>
      <c r="W29" s="588">
        <v>1414</v>
      </c>
      <c r="X29" s="588">
        <v>1434</v>
      </c>
      <c r="Y29" s="364">
        <f t="shared" si="2"/>
        <v>0</v>
      </c>
      <c r="Z29" s="364">
        <f t="shared" si="3"/>
        <v>0</v>
      </c>
      <c r="AA29" s="364">
        <f t="shared" si="4"/>
        <v>0</v>
      </c>
      <c r="AB29" s="364">
        <f t="shared" si="5"/>
        <v>71.444000000000003</v>
      </c>
      <c r="AC29" s="364">
        <f t="shared" si="6"/>
        <v>-6.42</v>
      </c>
      <c r="AD29" s="364">
        <f t="shared" si="7"/>
        <v>9.5060000000000002</v>
      </c>
      <c r="AE29" s="364">
        <f t="shared" si="8"/>
        <v>-18.814</v>
      </c>
      <c r="AF29" s="364">
        <f t="shared" si="9"/>
        <v>-5.508</v>
      </c>
      <c r="AG29" s="364">
        <f t="shared" si="10"/>
        <v>17.617999999999999</v>
      </c>
      <c r="AH29" s="364">
        <f t="shared" si="11"/>
        <v>7.9210000000000003</v>
      </c>
      <c r="AI29" s="393">
        <f t="shared" si="12"/>
        <v>3.089</v>
      </c>
      <c r="AJ29" s="393">
        <f t="shared" si="13"/>
        <v>-1.1240000000000001</v>
      </c>
      <c r="AK29" s="393">
        <f t="shared" si="14"/>
        <v>-1.591</v>
      </c>
      <c r="AL29" s="393">
        <f t="shared" si="15"/>
        <v>-2.617</v>
      </c>
      <c r="AM29" s="393">
        <f t="shared" si="16"/>
        <v>8.6959999999999997</v>
      </c>
      <c r="AN29" s="393">
        <f t="shared" si="17"/>
        <v>1.091</v>
      </c>
      <c r="AO29" s="393">
        <f t="shared" si="18"/>
        <v>1.4390000000000001</v>
      </c>
      <c r="AP29" s="393">
        <f t="shared" si="19"/>
        <v>-2.411</v>
      </c>
      <c r="AQ29" s="393">
        <f t="shared" si="20"/>
        <v>1.2350000000000001</v>
      </c>
      <c r="AR29" s="393">
        <f t="shared" si="21"/>
        <v>2.2970000000000002</v>
      </c>
      <c r="AS29" s="393">
        <f t="shared" si="22"/>
        <v>-0.77200000000000002</v>
      </c>
      <c r="AT29" s="393">
        <f t="shared" si="23"/>
        <v>1.4139999999999999</v>
      </c>
    </row>
    <row r="30" spans="1:46" ht="15.75" customHeight="1" x14ac:dyDescent="0.25">
      <c r="A30" s="355" t="s">
        <v>2210</v>
      </c>
      <c r="B30" s="388"/>
      <c r="C30" s="388"/>
      <c r="D30" s="388"/>
      <c r="E30" s="377"/>
      <c r="F30" s="377"/>
      <c r="G30" s="377"/>
      <c r="H30" s="377"/>
      <c r="I30" s="377"/>
      <c r="J30" s="409"/>
      <c r="K30" s="377">
        <v>898</v>
      </c>
      <c r="L30" s="377">
        <v>860</v>
      </c>
      <c r="M30" s="377">
        <v>930</v>
      </c>
      <c r="N30" s="377"/>
      <c r="O30" s="377">
        <v>1018</v>
      </c>
      <c r="P30" s="377">
        <v>970</v>
      </c>
      <c r="Q30" s="377">
        <v>1030</v>
      </c>
      <c r="R30" s="377">
        <v>1045</v>
      </c>
      <c r="S30" s="377">
        <v>1118</v>
      </c>
      <c r="T30" s="377">
        <v>1107</v>
      </c>
      <c r="U30" s="377">
        <v>1111</v>
      </c>
      <c r="V30" s="588"/>
      <c r="W30" s="588">
        <v>1178</v>
      </c>
      <c r="X30" s="588">
        <v>1205</v>
      </c>
      <c r="Y30" s="364">
        <f t="shared" si="2"/>
        <v>0</v>
      </c>
      <c r="Z30" s="364">
        <f t="shared" si="3"/>
        <v>0</v>
      </c>
      <c r="AA30" s="364">
        <f t="shared" si="4"/>
        <v>0</v>
      </c>
      <c r="AB30" s="364">
        <f t="shared" si="5"/>
        <v>0</v>
      </c>
      <c r="AC30" s="364">
        <f t="shared" si="6"/>
        <v>0</v>
      </c>
      <c r="AD30" s="364">
        <f t="shared" si="7"/>
        <v>0</v>
      </c>
      <c r="AE30" s="364">
        <f t="shared" si="8"/>
        <v>0</v>
      </c>
      <c r="AF30" s="364">
        <f t="shared" si="9"/>
        <v>49.889000000000003</v>
      </c>
      <c r="AG30" s="364">
        <f t="shared" si="10"/>
        <v>-4.2130000000000001</v>
      </c>
      <c r="AH30" s="364">
        <f t="shared" si="11"/>
        <v>7.4470000000000001</v>
      </c>
      <c r="AI30" s="393">
        <f t="shared" si="12"/>
        <v>8.14</v>
      </c>
      <c r="AJ30" s="393">
        <f t="shared" si="13"/>
        <v>-100</v>
      </c>
      <c r="AK30" s="393" t="e">
        <f t="shared" si="14"/>
        <v>#DIV/0!</v>
      </c>
      <c r="AL30" s="393">
        <f t="shared" si="15"/>
        <v>-4.7149999999999999</v>
      </c>
      <c r="AM30" s="393">
        <f t="shared" si="16"/>
        <v>6.1859999999999999</v>
      </c>
      <c r="AN30" s="393">
        <f t="shared" si="17"/>
        <v>1.456</v>
      </c>
      <c r="AO30" s="393">
        <f t="shared" si="18"/>
        <v>6.9859999999999998</v>
      </c>
      <c r="AP30" s="393">
        <f t="shared" si="19"/>
        <v>-0.98399999999999999</v>
      </c>
      <c r="AQ30" s="393">
        <f t="shared" si="20"/>
        <v>0.36099999999999999</v>
      </c>
      <c r="AR30" s="393">
        <f t="shared" si="21"/>
        <v>-100</v>
      </c>
      <c r="AS30" s="393" t="e">
        <f t="shared" si="22"/>
        <v>#DIV/0!</v>
      </c>
      <c r="AT30" s="393">
        <f t="shared" si="23"/>
        <v>2.2919999999999998</v>
      </c>
    </row>
    <row r="31" spans="1:46" ht="15.75" customHeight="1" x14ac:dyDescent="0.25">
      <c r="A31" s="361" t="s">
        <v>1026</v>
      </c>
      <c r="B31" s="388"/>
      <c r="C31" s="388"/>
      <c r="D31" s="388"/>
      <c r="E31" s="377"/>
      <c r="F31" s="377"/>
      <c r="G31" s="377"/>
      <c r="H31" s="377"/>
      <c r="I31" s="377"/>
      <c r="J31" s="409"/>
      <c r="K31" s="377"/>
      <c r="L31" s="377"/>
      <c r="M31" s="377"/>
      <c r="N31" s="377"/>
      <c r="O31" s="377"/>
      <c r="P31" s="377"/>
      <c r="Q31" s="377"/>
      <c r="R31" s="377"/>
      <c r="S31" s="377">
        <v>982</v>
      </c>
      <c r="T31" s="377"/>
      <c r="U31" s="377">
        <v>1002</v>
      </c>
      <c r="V31" s="588">
        <f>1446/4*3</f>
        <v>1085</v>
      </c>
      <c r="W31" s="588">
        <v>1079</v>
      </c>
      <c r="X31" s="588">
        <v>1105</v>
      </c>
      <c r="Y31" s="364">
        <f t="shared" si="2"/>
        <v>0</v>
      </c>
      <c r="Z31" s="364">
        <f t="shared" si="3"/>
        <v>0</v>
      </c>
      <c r="AA31" s="364">
        <f t="shared" si="4"/>
        <v>0</v>
      </c>
      <c r="AB31" s="364">
        <f t="shared" si="5"/>
        <v>0</v>
      </c>
      <c r="AC31" s="364">
        <f t="shared" si="6"/>
        <v>0</v>
      </c>
      <c r="AD31" s="364">
        <f t="shared" si="7"/>
        <v>0</v>
      </c>
      <c r="AE31" s="364">
        <f t="shared" si="8"/>
        <v>0</v>
      </c>
      <c r="AF31" s="364">
        <f t="shared" si="9"/>
        <v>0</v>
      </c>
      <c r="AG31" s="364">
        <f t="shared" si="10"/>
        <v>0</v>
      </c>
      <c r="AH31" s="364">
        <f t="shared" si="11"/>
        <v>0</v>
      </c>
      <c r="AI31" s="393" t="e">
        <f t="shared" si="12"/>
        <v>#DIV/0!</v>
      </c>
      <c r="AJ31" s="393" t="e">
        <f t="shared" si="13"/>
        <v>#DIV/0!</v>
      </c>
      <c r="AK31" s="393" t="e">
        <f t="shared" si="14"/>
        <v>#DIV/0!</v>
      </c>
      <c r="AL31" s="393" t="e">
        <f t="shared" si="15"/>
        <v>#DIV/0!</v>
      </c>
      <c r="AM31" s="393" t="e">
        <f t="shared" si="16"/>
        <v>#DIV/0!</v>
      </c>
      <c r="AN31" s="393" t="e">
        <f t="shared" si="17"/>
        <v>#DIV/0!</v>
      </c>
      <c r="AO31" s="393" t="e">
        <f t="shared" si="18"/>
        <v>#DIV/0!</v>
      </c>
      <c r="AP31" s="393">
        <f t="shared" si="19"/>
        <v>-100</v>
      </c>
      <c r="AQ31" s="393" t="e">
        <f t="shared" si="20"/>
        <v>#DIV/0!</v>
      </c>
      <c r="AR31" s="393">
        <f t="shared" si="21"/>
        <v>8.2829999999999995</v>
      </c>
      <c r="AS31" s="393">
        <f t="shared" si="22"/>
        <v>-0.55300000000000005</v>
      </c>
      <c r="AT31" s="393">
        <f t="shared" si="23"/>
        <v>2.41</v>
      </c>
    </row>
    <row r="32" spans="1:46" ht="15.75" customHeight="1" x14ac:dyDescent="0.25">
      <c r="A32" s="355" t="s">
        <v>2202</v>
      </c>
      <c r="B32" s="388"/>
      <c r="C32" s="388"/>
      <c r="D32" s="388"/>
      <c r="E32" s="377"/>
      <c r="F32" s="377"/>
      <c r="G32" s="377"/>
      <c r="H32" s="377"/>
      <c r="I32" s="377"/>
      <c r="J32" s="409"/>
      <c r="K32" s="377"/>
      <c r="L32" s="377"/>
      <c r="M32" s="377"/>
      <c r="N32" s="377"/>
      <c r="O32" s="377">
        <v>1190</v>
      </c>
      <c r="P32" s="377">
        <v>1038</v>
      </c>
      <c r="Q32" s="377">
        <v>1216</v>
      </c>
      <c r="R32" s="377">
        <v>1256</v>
      </c>
      <c r="S32" s="377">
        <v>1291</v>
      </c>
      <c r="T32" s="377">
        <v>1308</v>
      </c>
      <c r="U32" s="377">
        <v>1276</v>
      </c>
      <c r="V32" s="588">
        <f>1732/4*3</f>
        <v>1299</v>
      </c>
      <c r="W32" s="588">
        <v>1293</v>
      </c>
      <c r="X32" s="588">
        <v>1332</v>
      </c>
      <c r="Y32" s="364">
        <f t="shared" si="2"/>
        <v>0</v>
      </c>
      <c r="Z32" s="364">
        <f t="shared" si="3"/>
        <v>0</v>
      </c>
      <c r="AA32" s="364">
        <f t="shared" si="4"/>
        <v>0</v>
      </c>
      <c r="AB32" s="364">
        <f t="shared" si="5"/>
        <v>0</v>
      </c>
      <c r="AC32" s="364">
        <f t="shared" si="6"/>
        <v>0</v>
      </c>
      <c r="AD32" s="364">
        <f t="shared" si="7"/>
        <v>0</v>
      </c>
      <c r="AE32" s="364">
        <f t="shared" si="8"/>
        <v>0</v>
      </c>
      <c r="AF32" s="364">
        <f t="shared" si="9"/>
        <v>0</v>
      </c>
      <c r="AG32" s="364">
        <f t="shared" si="10"/>
        <v>0</v>
      </c>
      <c r="AH32" s="364">
        <f t="shared" si="11"/>
        <v>0</v>
      </c>
      <c r="AI32" s="393" t="e">
        <f t="shared" si="12"/>
        <v>#DIV/0!</v>
      </c>
      <c r="AJ32" s="393" t="e">
        <f t="shared" si="13"/>
        <v>#DIV/0!</v>
      </c>
      <c r="AK32" s="393" t="e">
        <f t="shared" si="14"/>
        <v>#DIV/0!</v>
      </c>
      <c r="AL32" s="393">
        <f t="shared" si="15"/>
        <v>-12.773</v>
      </c>
      <c r="AM32" s="393">
        <f t="shared" si="16"/>
        <v>17.148</v>
      </c>
      <c r="AN32" s="393">
        <f t="shared" si="17"/>
        <v>3.2890000000000001</v>
      </c>
      <c r="AO32" s="393">
        <f t="shared" si="18"/>
        <v>2.7869999999999999</v>
      </c>
      <c r="AP32" s="393">
        <f t="shared" si="19"/>
        <v>1.3169999999999999</v>
      </c>
      <c r="AQ32" s="393">
        <f t="shared" si="20"/>
        <v>-2.4460000000000002</v>
      </c>
      <c r="AR32" s="393">
        <f t="shared" si="21"/>
        <v>1.8029999999999999</v>
      </c>
      <c r="AS32" s="393">
        <f t="shared" si="22"/>
        <v>-0.46200000000000002</v>
      </c>
      <c r="AT32" s="393">
        <f t="shared" si="23"/>
        <v>3.016</v>
      </c>
    </row>
    <row r="33" spans="1:46" ht="15.75" customHeight="1" x14ac:dyDescent="0.25">
      <c r="A33" s="355" t="s">
        <v>2120</v>
      </c>
      <c r="B33" s="388"/>
      <c r="C33" s="388"/>
      <c r="D33" s="388"/>
      <c r="E33" s="377"/>
      <c r="F33" s="377"/>
      <c r="G33" s="377"/>
      <c r="H33" s="377"/>
      <c r="I33" s="377"/>
      <c r="J33" s="409"/>
      <c r="K33" s="377">
        <v>878</v>
      </c>
      <c r="L33" s="377">
        <v>949</v>
      </c>
      <c r="M33" s="377">
        <v>991</v>
      </c>
      <c r="N33" s="377">
        <v>928</v>
      </c>
      <c r="O33" s="377">
        <v>970</v>
      </c>
      <c r="P33" s="377">
        <v>1028</v>
      </c>
      <c r="Q33" s="377">
        <v>1172</v>
      </c>
      <c r="R33" s="377">
        <v>1125</v>
      </c>
      <c r="S33" s="377">
        <v>1149</v>
      </c>
      <c r="T33" s="377">
        <v>1077</v>
      </c>
      <c r="U33" s="377">
        <v>1053</v>
      </c>
      <c r="V33" s="588">
        <f>1536/4*3</f>
        <v>1152</v>
      </c>
      <c r="W33" s="588">
        <v>1136</v>
      </c>
      <c r="X33" s="588">
        <v>1177</v>
      </c>
      <c r="Y33" s="364">
        <f t="shared" si="2"/>
        <v>0</v>
      </c>
      <c r="Z33" s="364">
        <f t="shared" si="3"/>
        <v>0</v>
      </c>
      <c r="AA33" s="364">
        <f t="shared" si="4"/>
        <v>0</v>
      </c>
      <c r="AB33" s="364">
        <f t="shared" si="5"/>
        <v>0</v>
      </c>
      <c r="AC33" s="364">
        <f t="shared" si="6"/>
        <v>0</v>
      </c>
      <c r="AD33" s="364">
        <f t="shared" si="7"/>
        <v>0</v>
      </c>
      <c r="AE33" s="364">
        <f t="shared" si="8"/>
        <v>0</v>
      </c>
      <c r="AF33" s="364">
        <f t="shared" si="9"/>
        <v>48.777999999999999</v>
      </c>
      <c r="AG33" s="364">
        <f t="shared" si="10"/>
        <v>7.7009999999999996</v>
      </c>
      <c r="AH33" s="364">
        <f t="shared" si="11"/>
        <v>4.9349999999999996</v>
      </c>
      <c r="AI33" s="393">
        <f t="shared" si="12"/>
        <v>4.4260000000000002</v>
      </c>
      <c r="AJ33" s="393">
        <f t="shared" si="13"/>
        <v>-6.3570000000000002</v>
      </c>
      <c r="AK33" s="393">
        <f t="shared" si="14"/>
        <v>4.5259999999999998</v>
      </c>
      <c r="AL33" s="393">
        <f t="shared" si="15"/>
        <v>5.9790000000000001</v>
      </c>
      <c r="AM33" s="393">
        <f t="shared" si="16"/>
        <v>14.007999999999999</v>
      </c>
      <c r="AN33" s="393">
        <f t="shared" si="17"/>
        <v>-4.01</v>
      </c>
      <c r="AO33" s="393">
        <f t="shared" si="18"/>
        <v>2.133</v>
      </c>
      <c r="AP33" s="393">
        <f t="shared" si="19"/>
        <v>-6.266</v>
      </c>
      <c r="AQ33" s="393">
        <f t="shared" si="20"/>
        <v>-2.2280000000000002</v>
      </c>
      <c r="AR33" s="393">
        <f t="shared" si="21"/>
        <v>9.4019999999999992</v>
      </c>
      <c r="AS33" s="393">
        <f t="shared" si="22"/>
        <v>-1.389</v>
      </c>
      <c r="AT33" s="393">
        <f t="shared" si="23"/>
        <v>3.609</v>
      </c>
    </row>
    <row r="34" spans="1:46" ht="15.75" customHeight="1" x14ac:dyDescent="0.25">
      <c r="A34" s="361" t="s">
        <v>1022</v>
      </c>
      <c r="B34" s="388"/>
      <c r="C34" s="388"/>
      <c r="D34" s="388"/>
      <c r="E34" s="377"/>
      <c r="F34" s="377"/>
      <c r="G34" s="377"/>
      <c r="H34" s="377"/>
      <c r="I34" s="377"/>
      <c r="J34" s="409"/>
      <c r="K34" s="377"/>
      <c r="L34" s="377"/>
      <c r="M34" s="377"/>
      <c r="N34" s="377"/>
      <c r="O34" s="377"/>
      <c r="P34" s="377"/>
      <c r="Q34" s="377"/>
      <c r="R34" s="377"/>
      <c r="S34" s="377">
        <v>1249</v>
      </c>
      <c r="T34" s="377">
        <v>1259</v>
      </c>
      <c r="U34" s="377"/>
      <c r="V34" s="588">
        <f>1427/4*3</f>
        <v>1070</v>
      </c>
      <c r="W34" s="588">
        <v>1139</v>
      </c>
      <c r="X34" s="588">
        <v>1194</v>
      </c>
      <c r="Y34" s="364">
        <f t="shared" si="2"/>
        <v>0</v>
      </c>
      <c r="Z34" s="364">
        <f t="shared" si="3"/>
        <v>0</v>
      </c>
      <c r="AA34" s="364">
        <f t="shared" si="4"/>
        <v>0</v>
      </c>
      <c r="AB34" s="364">
        <f t="shared" si="5"/>
        <v>0</v>
      </c>
      <c r="AC34" s="364">
        <f t="shared" si="6"/>
        <v>0</v>
      </c>
      <c r="AD34" s="364">
        <f t="shared" si="7"/>
        <v>0</v>
      </c>
      <c r="AE34" s="364">
        <f t="shared" si="8"/>
        <v>0</v>
      </c>
      <c r="AF34" s="364">
        <f t="shared" si="9"/>
        <v>0</v>
      </c>
      <c r="AG34" s="364">
        <f t="shared" si="10"/>
        <v>0</v>
      </c>
      <c r="AH34" s="364">
        <f t="shared" si="11"/>
        <v>0</v>
      </c>
      <c r="AI34" s="393" t="e">
        <f t="shared" si="12"/>
        <v>#DIV/0!</v>
      </c>
      <c r="AJ34" s="393" t="e">
        <f t="shared" si="13"/>
        <v>#DIV/0!</v>
      </c>
      <c r="AK34" s="393" t="e">
        <f t="shared" si="14"/>
        <v>#DIV/0!</v>
      </c>
      <c r="AL34" s="393" t="e">
        <f t="shared" si="15"/>
        <v>#DIV/0!</v>
      </c>
      <c r="AM34" s="393" t="e">
        <f t="shared" si="16"/>
        <v>#DIV/0!</v>
      </c>
      <c r="AN34" s="393" t="e">
        <f t="shared" si="17"/>
        <v>#DIV/0!</v>
      </c>
      <c r="AO34" s="393" t="e">
        <f t="shared" si="18"/>
        <v>#DIV/0!</v>
      </c>
      <c r="AP34" s="393">
        <f t="shared" si="19"/>
        <v>0.80100000000000005</v>
      </c>
      <c r="AQ34" s="393">
        <f t="shared" si="20"/>
        <v>-100</v>
      </c>
      <c r="AR34" s="393" t="e">
        <f t="shared" si="21"/>
        <v>#DIV/0!</v>
      </c>
      <c r="AS34" s="393">
        <f t="shared" si="22"/>
        <v>6.4489999999999998</v>
      </c>
      <c r="AT34" s="393">
        <f t="shared" si="23"/>
        <v>4.8289999999999997</v>
      </c>
    </row>
    <row r="35" spans="1:46" ht="15.75" customHeight="1" x14ac:dyDescent="0.25">
      <c r="A35" s="360" t="s">
        <v>4490</v>
      </c>
      <c r="B35" s="397">
        <f>433.5*3</f>
        <v>1301</v>
      </c>
      <c r="C35" s="397">
        <f>441.5*3</f>
        <v>1325</v>
      </c>
      <c r="D35" s="397">
        <f>835/2*3</f>
        <v>1253</v>
      </c>
      <c r="E35" s="373">
        <v>1308</v>
      </c>
      <c r="F35" s="373">
        <v>1275</v>
      </c>
      <c r="G35" s="373">
        <v>1209</v>
      </c>
      <c r="H35" s="373">
        <v>1337</v>
      </c>
      <c r="I35" s="373">
        <v>1322</v>
      </c>
      <c r="J35" s="408">
        <f>1709/4*3</f>
        <v>1282</v>
      </c>
      <c r="K35" s="373">
        <v>1240</v>
      </c>
      <c r="L35" s="373">
        <v>1306</v>
      </c>
      <c r="M35" s="373">
        <v>1260</v>
      </c>
      <c r="N35" s="373">
        <v>1253</v>
      </c>
      <c r="O35" s="373">
        <v>1232</v>
      </c>
      <c r="P35" s="373">
        <v>1242</v>
      </c>
      <c r="Q35" s="373">
        <v>1134</v>
      </c>
      <c r="R35" s="373">
        <v>1189</v>
      </c>
      <c r="S35" s="373">
        <v>1239</v>
      </c>
      <c r="T35" s="373">
        <v>1201</v>
      </c>
      <c r="U35" s="373">
        <v>1328</v>
      </c>
      <c r="V35" s="589">
        <f>1739/4*3</f>
        <v>1304</v>
      </c>
      <c r="W35" s="589">
        <v>1281</v>
      </c>
      <c r="X35" s="589">
        <v>1343</v>
      </c>
      <c r="Y35" s="364">
        <f t="shared" si="2"/>
        <v>4.8099999999999996</v>
      </c>
      <c r="Z35" s="364">
        <f t="shared" si="3"/>
        <v>-15.157999999999999</v>
      </c>
      <c r="AA35" s="364">
        <f t="shared" si="4"/>
        <v>10.055</v>
      </c>
      <c r="AB35" s="364">
        <f t="shared" si="5"/>
        <v>-6.7069999999999999</v>
      </c>
      <c r="AC35" s="364">
        <f t="shared" si="6"/>
        <v>-12.571</v>
      </c>
      <c r="AD35" s="364">
        <f t="shared" si="7"/>
        <v>21.658000000000001</v>
      </c>
      <c r="AE35" s="364">
        <f t="shared" si="8"/>
        <v>-8.3680000000000003</v>
      </c>
      <c r="AF35" s="364">
        <f t="shared" si="9"/>
        <v>-8.1080000000000005</v>
      </c>
      <c r="AG35" s="364">
        <f t="shared" si="10"/>
        <v>11.786</v>
      </c>
      <c r="AH35" s="364">
        <f t="shared" si="11"/>
        <v>-9.3119999999999994</v>
      </c>
      <c r="AI35" s="393">
        <f t="shared" si="12"/>
        <v>-3.5219999999999998</v>
      </c>
      <c r="AJ35" s="393">
        <f t="shared" si="13"/>
        <v>-0.55600000000000005</v>
      </c>
      <c r="AK35" s="393">
        <f t="shared" si="14"/>
        <v>-1.6759999999999999</v>
      </c>
      <c r="AL35" s="393">
        <f t="shared" si="15"/>
        <v>0.81200000000000006</v>
      </c>
      <c r="AM35" s="393">
        <f t="shared" si="16"/>
        <v>-8.6959999999999997</v>
      </c>
      <c r="AN35" s="393">
        <f t="shared" si="17"/>
        <v>4.8499999999999996</v>
      </c>
      <c r="AO35" s="393">
        <f t="shared" si="18"/>
        <v>4.2050000000000001</v>
      </c>
      <c r="AP35" s="393">
        <f t="shared" si="19"/>
        <v>-3.0670000000000002</v>
      </c>
      <c r="AQ35" s="393">
        <f t="shared" si="20"/>
        <v>10.574999999999999</v>
      </c>
      <c r="AR35" s="393">
        <f t="shared" si="21"/>
        <v>-1.8069999999999999</v>
      </c>
      <c r="AS35" s="393">
        <f t="shared" si="22"/>
        <v>-1.764</v>
      </c>
      <c r="AT35" s="393">
        <f t="shared" si="23"/>
        <v>4.84</v>
      </c>
    </row>
    <row r="36" spans="1:46" ht="15.75" customHeight="1" x14ac:dyDescent="0.25">
      <c r="A36" s="355" t="s">
        <v>2121</v>
      </c>
      <c r="B36" s="388"/>
      <c r="C36" s="388">
        <f>300.5*3</f>
        <v>902</v>
      </c>
      <c r="D36" s="388"/>
      <c r="E36" s="377"/>
      <c r="F36" s="377"/>
      <c r="G36" s="377"/>
      <c r="H36" s="377"/>
      <c r="I36" s="377"/>
      <c r="J36" s="409"/>
      <c r="K36" s="377"/>
      <c r="L36" s="377"/>
      <c r="M36" s="377"/>
      <c r="N36" s="377">
        <v>1034</v>
      </c>
      <c r="O36" s="377">
        <v>953</v>
      </c>
      <c r="P36" s="377">
        <v>941</v>
      </c>
      <c r="Q36" s="377">
        <v>983</v>
      </c>
      <c r="R36" s="377"/>
      <c r="S36" s="377">
        <v>968</v>
      </c>
      <c r="T36" s="377"/>
      <c r="U36" s="377">
        <v>988</v>
      </c>
      <c r="V36" s="588">
        <f>1466/4*3</f>
        <v>1100</v>
      </c>
      <c r="W36" s="588">
        <v>1152</v>
      </c>
      <c r="X36" s="588">
        <v>1211</v>
      </c>
      <c r="Y36" s="364">
        <f t="shared" si="2"/>
        <v>50.110999999999997</v>
      </c>
      <c r="Z36" s="364">
        <f t="shared" si="3"/>
        <v>-100.44499999999999</v>
      </c>
      <c r="AA36" s="364">
        <f t="shared" si="4"/>
        <v>0</v>
      </c>
      <c r="AB36" s="364">
        <f t="shared" si="5"/>
        <v>0</v>
      </c>
      <c r="AC36" s="364">
        <f t="shared" si="6"/>
        <v>0</v>
      </c>
      <c r="AD36" s="364">
        <f t="shared" si="7"/>
        <v>0</v>
      </c>
      <c r="AE36" s="364">
        <f t="shared" si="8"/>
        <v>0</v>
      </c>
      <c r="AF36" s="364">
        <f t="shared" si="9"/>
        <v>0</v>
      </c>
      <c r="AG36" s="364">
        <f t="shared" si="10"/>
        <v>0</v>
      </c>
      <c r="AH36" s="364">
        <f t="shared" si="11"/>
        <v>0</v>
      </c>
      <c r="AI36" s="393" t="e">
        <f t="shared" si="12"/>
        <v>#DIV/0!</v>
      </c>
      <c r="AJ36" s="393" t="e">
        <f t="shared" si="13"/>
        <v>#DIV/0!</v>
      </c>
      <c r="AK36" s="393">
        <f t="shared" si="14"/>
        <v>-7.8339999999999996</v>
      </c>
      <c r="AL36" s="393">
        <f t="shared" si="15"/>
        <v>-1.2589999999999999</v>
      </c>
      <c r="AM36" s="393">
        <f t="shared" si="16"/>
        <v>4.4630000000000001</v>
      </c>
      <c r="AN36" s="393">
        <f t="shared" si="17"/>
        <v>-100</v>
      </c>
      <c r="AO36" s="393" t="e">
        <f t="shared" si="18"/>
        <v>#DIV/0!</v>
      </c>
      <c r="AP36" s="393">
        <f t="shared" si="19"/>
        <v>-100</v>
      </c>
      <c r="AQ36" s="393" t="e">
        <f t="shared" si="20"/>
        <v>#DIV/0!</v>
      </c>
      <c r="AR36" s="393">
        <f t="shared" si="21"/>
        <v>11.336</v>
      </c>
      <c r="AS36" s="393">
        <f t="shared" si="22"/>
        <v>4.7270000000000003</v>
      </c>
      <c r="AT36" s="393">
        <f t="shared" si="23"/>
        <v>5.1219999999999999</v>
      </c>
    </row>
    <row r="37" spans="1:46" ht="15.75" customHeight="1" x14ac:dyDescent="0.25">
      <c r="A37" s="361" t="s">
        <v>4405</v>
      </c>
      <c r="B37" s="389"/>
      <c r="C37" s="389"/>
      <c r="D37" s="389"/>
      <c r="E37" s="377"/>
      <c r="F37" s="377"/>
      <c r="G37" s="377"/>
      <c r="H37" s="377"/>
      <c r="I37" s="377"/>
      <c r="J37" s="409"/>
      <c r="K37" s="377"/>
      <c r="L37" s="377"/>
      <c r="M37" s="377"/>
      <c r="N37" s="377"/>
      <c r="O37" s="377"/>
      <c r="P37" s="373"/>
      <c r="Q37" s="373"/>
      <c r="R37" s="373"/>
      <c r="S37" s="373"/>
      <c r="T37" s="373"/>
      <c r="U37" s="373">
        <v>1039</v>
      </c>
      <c r="V37" s="589">
        <f>1542/4*3</f>
        <v>1157</v>
      </c>
      <c r="W37" s="589">
        <v>1189</v>
      </c>
      <c r="X37" s="589">
        <v>1261</v>
      </c>
      <c r="Y37" s="364">
        <f t="shared" ref="Y37:Y68" si="24">((+C37-B37)/(1800-B37))*100</f>
        <v>0</v>
      </c>
      <c r="Z37" s="364">
        <f t="shared" ref="Z37:Z68" si="25">((+D37-C37)/(1800-C37))*100</f>
        <v>0</v>
      </c>
      <c r="AA37" s="364">
        <f t="shared" ref="AA37:AA68" si="26">((+E37-D37)/(1800-D37))*100</f>
        <v>0</v>
      </c>
      <c r="AB37" s="364">
        <f t="shared" ref="AB37:AB68" si="27">((+F37-E37)/(1800-E37))*100</f>
        <v>0</v>
      </c>
      <c r="AC37" s="364">
        <f t="shared" ref="AC37:AC68" si="28">((+G37-F37)/(1800-F37))*100</f>
        <v>0</v>
      </c>
      <c r="AD37" s="364">
        <f t="shared" ref="AD37:AD68" si="29">((+H37-G37)/(1800-G37))*100</f>
        <v>0</v>
      </c>
      <c r="AE37" s="364">
        <f t="shared" ref="AE37:AE68" si="30">((+J37-I37)/(1800-I37))*100</f>
        <v>0</v>
      </c>
      <c r="AF37" s="364">
        <f t="shared" ref="AF37:AF68" si="31">((+K37-J37)/(1800-J37))*100</f>
        <v>0</v>
      </c>
      <c r="AG37" s="364">
        <f t="shared" ref="AG37:AG68" si="32">((+L37-K37)/(1800-K37))*100</f>
        <v>0</v>
      </c>
      <c r="AH37" s="364">
        <f t="shared" ref="AH37:AH68" si="33">((+M37-L37)/(1800-L37))*100</f>
        <v>0</v>
      </c>
      <c r="AI37" s="393" t="e">
        <f t="shared" ref="AI37:AI68" si="34">(+M37-L37)/L37*100</f>
        <v>#DIV/0!</v>
      </c>
      <c r="AJ37" s="393" t="e">
        <f t="shared" ref="AJ37:AJ68" si="35">(+N37-M37)/M37*100</f>
        <v>#DIV/0!</v>
      </c>
      <c r="AK37" s="393" t="e">
        <f t="shared" ref="AK37:AK68" si="36">(+O37-N37)/N37*100</f>
        <v>#DIV/0!</v>
      </c>
      <c r="AL37" s="393" t="e">
        <f t="shared" ref="AL37:AL68" si="37">(+P37-O37)/O37*100</f>
        <v>#DIV/0!</v>
      </c>
      <c r="AM37" s="393" t="e">
        <f t="shared" ref="AM37:AM68" si="38">(+Q37-P37)/P37*100</f>
        <v>#DIV/0!</v>
      </c>
      <c r="AN37" s="393" t="e">
        <f t="shared" ref="AN37:AN68" si="39">(+R37-Q37)/Q37*100</f>
        <v>#DIV/0!</v>
      </c>
      <c r="AO37" s="393" t="e">
        <f t="shared" ref="AO37:AO68" si="40">(+S37-R37)/R37*100</f>
        <v>#DIV/0!</v>
      </c>
      <c r="AP37" s="393" t="e">
        <f t="shared" ref="AP37:AP68" si="41">(+T37-S37)/S37*100</f>
        <v>#DIV/0!</v>
      </c>
      <c r="AQ37" s="393" t="e">
        <f t="shared" ref="AQ37:AQ68" si="42">(+U37-T37)/T37*100</f>
        <v>#DIV/0!</v>
      </c>
      <c r="AR37" s="393">
        <f t="shared" ref="AR37:AR68" si="43">(+V37-U37)/U37*100</f>
        <v>11.356999999999999</v>
      </c>
      <c r="AS37" s="393">
        <f t="shared" ref="AS37:AS68" si="44">(+W37-V37)/V37*100</f>
        <v>2.766</v>
      </c>
      <c r="AT37" s="393">
        <f t="shared" ref="AT37:AT68" si="45">(+X37-W37)/W37*100</f>
        <v>6.056</v>
      </c>
    </row>
    <row r="38" spans="1:46" ht="15.75" customHeight="1" x14ac:dyDescent="0.25">
      <c r="A38" s="361" t="s">
        <v>4280</v>
      </c>
      <c r="B38" s="389"/>
      <c r="C38" s="389"/>
      <c r="D38" s="389"/>
      <c r="E38" s="377"/>
      <c r="F38" s="377"/>
      <c r="G38" s="377"/>
      <c r="H38" s="377"/>
      <c r="I38" s="377"/>
      <c r="J38" s="409"/>
      <c r="K38" s="377"/>
      <c r="L38" s="377">
        <v>966</v>
      </c>
      <c r="M38" s="377">
        <v>1084</v>
      </c>
      <c r="N38" s="377">
        <v>995</v>
      </c>
      <c r="O38" s="377"/>
      <c r="P38" s="373">
        <v>915</v>
      </c>
      <c r="Q38" s="373"/>
      <c r="R38" s="373">
        <v>1064</v>
      </c>
      <c r="S38" s="373">
        <v>1033</v>
      </c>
      <c r="T38" s="373">
        <v>996</v>
      </c>
      <c r="U38" s="373">
        <v>977</v>
      </c>
      <c r="V38" s="589">
        <f>1494/4*3</f>
        <v>1121</v>
      </c>
      <c r="W38" s="589">
        <v>1130</v>
      </c>
      <c r="X38" s="589">
        <v>1218</v>
      </c>
      <c r="Y38" s="364">
        <f t="shared" si="24"/>
        <v>0</v>
      </c>
      <c r="Z38" s="364">
        <f t="shared" si="25"/>
        <v>0</v>
      </c>
      <c r="AA38" s="364">
        <f t="shared" si="26"/>
        <v>0</v>
      </c>
      <c r="AB38" s="364">
        <f t="shared" si="27"/>
        <v>0</v>
      </c>
      <c r="AC38" s="364">
        <f t="shared" si="28"/>
        <v>0</v>
      </c>
      <c r="AD38" s="364">
        <f t="shared" si="29"/>
        <v>0</v>
      </c>
      <c r="AE38" s="364">
        <f t="shared" si="30"/>
        <v>0</v>
      </c>
      <c r="AF38" s="364">
        <f t="shared" si="31"/>
        <v>0</v>
      </c>
      <c r="AG38" s="364">
        <f t="shared" si="32"/>
        <v>53.667000000000002</v>
      </c>
      <c r="AH38" s="364">
        <f t="shared" si="33"/>
        <v>14.148999999999999</v>
      </c>
      <c r="AI38" s="393">
        <f t="shared" si="34"/>
        <v>12.215</v>
      </c>
      <c r="AJ38" s="393">
        <f t="shared" si="35"/>
        <v>-8.2100000000000009</v>
      </c>
      <c r="AK38" s="393">
        <f t="shared" si="36"/>
        <v>-100</v>
      </c>
      <c r="AL38" s="393" t="e">
        <f t="shared" si="37"/>
        <v>#DIV/0!</v>
      </c>
      <c r="AM38" s="393">
        <f t="shared" si="38"/>
        <v>-100</v>
      </c>
      <c r="AN38" s="393" t="e">
        <f t="shared" si="39"/>
        <v>#DIV/0!</v>
      </c>
      <c r="AO38" s="393">
        <f t="shared" si="40"/>
        <v>-2.9140000000000001</v>
      </c>
      <c r="AP38" s="393">
        <f t="shared" si="41"/>
        <v>-3.5819999999999999</v>
      </c>
      <c r="AQ38" s="393">
        <f t="shared" si="42"/>
        <v>-1.9079999999999999</v>
      </c>
      <c r="AR38" s="393">
        <f t="shared" si="43"/>
        <v>14.739000000000001</v>
      </c>
      <c r="AS38" s="393">
        <f t="shared" si="44"/>
        <v>0.80300000000000005</v>
      </c>
      <c r="AT38" s="393">
        <f t="shared" si="45"/>
        <v>7.7880000000000003</v>
      </c>
    </row>
    <row r="39" spans="1:46" ht="15.75" customHeight="1" x14ac:dyDescent="0.25">
      <c r="A39" s="355" t="s">
        <v>2207</v>
      </c>
      <c r="B39" s="388"/>
      <c r="C39" s="388"/>
      <c r="D39" s="388"/>
      <c r="E39" s="377"/>
      <c r="F39" s="377"/>
      <c r="G39" s="377"/>
      <c r="H39" s="377"/>
      <c r="I39" s="377"/>
      <c r="J39" s="409"/>
      <c r="K39" s="377">
        <v>1068</v>
      </c>
      <c r="L39" s="377">
        <v>983</v>
      </c>
      <c r="M39" s="377">
        <v>1058</v>
      </c>
      <c r="N39" s="377">
        <v>1081</v>
      </c>
      <c r="O39" s="377">
        <v>1117</v>
      </c>
      <c r="P39" s="377">
        <v>1117</v>
      </c>
      <c r="Q39" s="377">
        <v>1083</v>
      </c>
      <c r="R39" s="377">
        <v>1146</v>
      </c>
      <c r="S39" s="377">
        <v>1128</v>
      </c>
      <c r="T39" s="377">
        <v>1093</v>
      </c>
      <c r="U39" s="377"/>
      <c r="V39" s="588">
        <f>1541/4*3</f>
        <v>1156</v>
      </c>
      <c r="W39" s="588">
        <v>1122</v>
      </c>
      <c r="X39" s="588">
        <v>1211</v>
      </c>
      <c r="Y39" s="364">
        <f t="shared" si="24"/>
        <v>0</v>
      </c>
      <c r="Z39" s="364">
        <f t="shared" si="25"/>
        <v>0</v>
      </c>
      <c r="AA39" s="364">
        <f t="shared" si="26"/>
        <v>0</v>
      </c>
      <c r="AB39" s="364">
        <f t="shared" si="27"/>
        <v>0</v>
      </c>
      <c r="AC39" s="364">
        <f t="shared" si="28"/>
        <v>0</v>
      </c>
      <c r="AD39" s="364">
        <f t="shared" si="29"/>
        <v>0</v>
      </c>
      <c r="AE39" s="364">
        <f t="shared" si="30"/>
        <v>0</v>
      </c>
      <c r="AF39" s="364">
        <f t="shared" si="31"/>
        <v>59.332999999999998</v>
      </c>
      <c r="AG39" s="364">
        <f t="shared" si="32"/>
        <v>-11.612</v>
      </c>
      <c r="AH39" s="364">
        <f t="shared" si="33"/>
        <v>9.18</v>
      </c>
      <c r="AI39" s="393">
        <f t="shared" si="34"/>
        <v>7.63</v>
      </c>
      <c r="AJ39" s="393">
        <f t="shared" si="35"/>
        <v>2.1739999999999999</v>
      </c>
      <c r="AK39" s="393">
        <f t="shared" si="36"/>
        <v>3.33</v>
      </c>
      <c r="AL39" s="393">
        <f t="shared" si="37"/>
        <v>0</v>
      </c>
      <c r="AM39" s="393">
        <f t="shared" si="38"/>
        <v>-3.044</v>
      </c>
      <c r="AN39" s="393">
        <f t="shared" si="39"/>
        <v>5.8170000000000002</v>
      </c>
      <c r="AO39" s="393">
        <f t="shared" si="40"/>
        <v>-1.571</v>
      </c>
      <c r="AP39" s="393">
        <f t="shared" si="41"/>
        <v>-3.1030000000000002</v>
      </c>
      <c r="AQ39" s="393">
        <f t="shared" si="42"/>
        <v>-100</v>
      </c>
      <c r="AR39" s="393" t="e">
        <f t="shared" si="43"/>
        <v>#DIV/0!</v>
      </c>
      <c r="AS39" s="393">
        <f t="shared" si="44"/>
        <v>-2.9409999999999998</v>
      </c>
      <c r="AT39" s="393">
        <f t="shared" si="45"/>
        <v>7.9320000000000004</v>
      </c>
    </row>
    <row r="40" spans="1:46" s="358" customFormat="1" ht="15.75" customHeight="1" x14ac:dyDescent="0.25">
      <c r="A40" s="361" t="s">
        <v>779</v>
      </c>
      <c r="B40" s="388"/>
      <c r="C40" s="388"/>
      <c r="D40" s="388">
        <f>231*3</f>
        <v>693</v>
      </c>
      <c r="E40" s="377"/>
      <c r="F40" s="377"/>
      <c r="G40" s="377"/>
      <c r="H40" s="377"/>
      <c r="I40" s="377"/>
      <c r="J40" s="409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588"/>
      <c r="W40" s="588"/>
      <c r="X40" s="588"/>
      <c r="Y40" s="364">
        <f t="shared" si="24"/>
        <v>0</v>
      </c>
      <c r="Z40" s="364">
        <f t="shared" si="25"/>
        <v>38.5</v>
      </c>
      <c r="AA40" s="364">
        <f t="shared" si="26"/>
        <v>-62.601999999999997</v>
      </c>
      <c r="AB40" s="364">
        <f t="shared" si="27"/>
        <v>0</v>
      </c>
      <c r="AC40" s="364">
        <f t="shared" si="28"/>
        <v>0</v>
      </c>
      <c r="AD40" s="364">
        <f t="shared" si="29"/>
        <v>0</v>
      </c>
      <c r="AE40" s="364">
        <f t="shared" si="30"/>
        <v>0</v>
      </c>
      <c r="AF40" s="364">
        <f t="shared" si="31"/>
        <v>0</v>
      </c>
      <c r="AG40" s="364">
        <f t="shared" si="32"/>
        <v>0</v>
      </c>
      <c r="AH40" s="364">
        <f t="shared" si="33"/>
        <v>0</v>
      </c>
      <c r="AI40" s="393" t="e">
        <f t="shared" si="34"/>
        <v>#DIV/0!</v>
      </c>
      <c r="AJ40" s="393" t="e">
        <f t="shared" si="35"/>
        <v>#DIV/0!</v>
      </c>
      <c r="AK40" s="393" t="e">
        <f t="shared" si="36"/>
        <v>#DIV/0!</v>
      </c>
      <c r="AL40" s="393" t="e">
        <f t="shared" si="37"/>
        <v>#DIV/0!</v>
      </c>
      <c r="AM40" s="393" t="e">
        <f t="shared" si="38"/>
        <v>#DIV/0!</v>
      </c>
      <c r="AN40" s="393" t="e">
        <f t="shared" si="39"/>
        <v>#DIV/0!</v>
      </c>
      <c r="AO40" s="393" t="e">
        <f t="shared" si="40"/>
        <v>#DIV/0!</v>
      </c>
      <c r="AP40" s="393" t="e">
        <f t="shared" si="41"/>
        <v>#DIV/0!</v>
      </c>
      <c r="AQ40" s="393" t="e">
        <f t="shared" si="42"/>
        <v>#DIV/0!</v>
      </c>
      <c r="AR40" s="393" t="e">
        <f t="shared" si="43"/>
        <v>#DIV/0!</v>
      </c>
      <c r="AS40" s="393" t="e">
        <f t="shared" si="44"/>
        <v>#DIV/0!</v>
      </c>
      <c r="AT40" s="393" t="e">
        <f t="shared" si="45"/>
        <v>#DIV/0!</v>
      </c>
    </row>
    <row r="41" spans="1:46" ht="15.75" customHeight="1" x14ac:dyDescent="0.25">
      <c r="A41" s="361" t="s">
        <v>1024</v>
      </c>
      <c r="B41" s="388"/>
      <c r="C41" s="388"/>
      <c r="D41" s="388"/>
      <c r="E41" s="377"/>
      <c r="F41" s="377"/>
      <c r="G41" s="377"/>
      <c r="H41" s="377"/>
      <c r="I41" s="377"/>
      <c r="J41" s="409"/>
      <c r="K41" s="377"/>
      <c r="L41" s="377"/>
      <c r="M41" s="377"/>
      <c r="N41" s="377"/>
      <c r="O41" s="377"/>
      <c r="P41" s="377"/>
      <c r="Q41" s="377"/>
      <c r="R41" s="377"/>
      <c r="S41" s="377">
        <v>1041</v>
      </c>
      <c r="T41" s="377"/>
      <c r="U41" s="377"/>
      <c r="V41" s="588"/>
      <c r="W41" s="588"/>
      <c r="X41" s="588"/>
      <c r="Y41" s="364">
        <f t="shared" si="24"/>
        <v>0</v>
      </c>
      <c r="Z41" s="364">
        <f t="shared" si="25"/>
        <v>0</v>
      </c>
      <c r="AA41" s="364">
        <f t="shared" si="26"/>
        <v>0</v>
      </c>
      <c r="AB41" s="364">
        <f t="shared" si="27"/>
        <v>0</v>
      </c>
      <c r="AC41" s="364">
        <f t="shared" si="28"/>
        <v>0</v>
      </c>
      <c r="AD41" s="364">
        <f t="shared" si="29"/>
        <v>0</v>
      </c>
      <c r="AE41" s="364">
        <f t="shared" si="30"/>
        <v>0</v>
      </c>
      <c r="AF41" s="364">
        <f t="shared" si="31"/>
        <v>0</v>
      </c>
      <c r="AG41" s="364">
        <f t="shared" si="32"/>
        <v>0</v>
      </c>
      <c r="AH41" s="364">
        <f t="shared" si="33"/>
        <v>0</v>
      </c>
      <c r="AI41" s="393" t="e">
        <f t="shared" si="34"/>
        <v>#DIV/0!</v>
      </c>
      <c r="AJ41" s="393" t="e">
        <f t="shared" si="35"/>
        <v>#DIV/0!</v>
      </c>
      <c r="AK41" s="393" t="e">
        <f t="shared" si="36"/>
        <v>#DIV/0!</v>
      </c>
      <c r="AL41" s="393" t="e">
        <f t="shared" si="37"/>
        <v>#DIV/0!</v>
      </c>
      <c r="AM41" s="393" t="e">
        <f t="shared" si="38"/>
        <v>#DIV/0!</v>
      </c>
      <c r="AN41" s="393" t="e">
        <f t="shared" si="39"/>
        <v>#DIV/0!</v>
      </c>
      <c r="AO41" s="393" t="e">
        <f t="shared" si="40"/>
        <v>#DIV/0!</v>
      </c>
      <c r="AP41" s="393">
        <f t="shared" si="41"/>
        <v>-100</v>
      </c>
      <c r="AQ41" s="393" t="e">
        <f t="shared" si="42"/>
        <v>#DIV/0!</v>
      </c>
      <c r="AR41" s="393" t="e">
        <f t="shared" si="43"/>
        <v>#DIV/0!</v>
      </c>
      <c r="AS41" s="393" t="e">
        <f t="shared" si="44"/>
        <v>#DIV/0!</v>
      </c>
      <c r="AT41" s="393" t="e">
        <f t="shared" si="45"/>
        <v>#DIV/0!</v>
      </c>
    </row>
    <row r="42" spans="1:46" ht="15.75" customHeight="1" x14ac:dyDescent="0.25">
      <c r="A42" s="361" t="s">
        <v>3754</v>
      </c>
      <c r="B42" s="388">
        <f>377.5*3</f>
        <v>1133</v>
      </c>
      <c r="C42" s="388">
        <f>370*3</f>
        <v>1110</v>
      </c>
      <c r="D42" s="388">
        <f>376*3</f>
        <v>1128</v>
      </c>
      <c r="E42" s="377"/>
      <c r="F42" s="377">
        <v>847</v>
      </c>
      <c r="G42" s="377">
        <v>926</v>
      </c>
      <c r="H42" s="377"/>
      <c r="I42" s="377"/>
      <c r="J42" s="409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588"/>
      <c r="W42" s="588"/>
      <c r="X42" s="588"/>
      <c r="Y42" s="364">
        <f t="shared" si="24"/>
        <v>-3.448</v>
      </c>
      <c r="Z42" s="364">
        <f t="shared" si="25"/>
        <v>2.609</v>
      </c>
      <c r="AA42" s="364">
        <f t="shared" si="26"/>
        <v>-167.857</v>
      </c>
      <c r="AB42" s="364">
        <f t="shared" si="27"/>
        <v>47.055999999999997</v>
      </c>
      <c r="AC42" s="364">
        <f t="shared" si="28"/>
        <v>8.2899999999999991</v>
      </c>
      <c r="AD42" s="364">
        <f t="shared" si="29"/>
        <v>-105.95</v>
      </c>
      <c r="AE42" s="364">
        <f t="shared" si="30"/>
        <v>0</v>
      </c>
      <c r="AF42" s="364">
        <f t="shared" si="31"/>
        <v>0</v>
      </c>
      <c r="AG42" s="364">
        <f t="shared" si="32"/>
        <v>0</v>
      </c>
      <c r="AH42" s="364">
        <f t="shared" si="33"/>
        <v>0</v>
      </c>
      <c r="AI42" s="393" t="e">
        <f t="shared" si="34"/>
        <v>#DIV/0!</v>
      </c>
      <c r="AJ42" s="393" t="e">
        <f t="shared" si="35"/>
        <v>#DIV/0!</v>
      </c>
      <c r="AK42" s="393" t="e">
        <f t="shared" si="36"/>
        <v>#DIV/0!</v>
      </c>
      <c r="AL42" s="393" t="e">
        <f t="shared" si="37"/>
        <v>#DIV/0!</v>
      </c>
      <c r="AM42" s="393" t="e">
        <f t="shared" si="38"/>
        <v>#DIV/0!</v>
      </c>
      <c r="AN42" s="393" t="e">
        <f t="shared" si="39"/>
        <v>#DIV/0!</v>
      </c>
      <c r="AO42" s="393" t="e">
        <f t="shared" si="40"/>
        <v>#DIV/0!</v>
      </c>
      <c r="AP42" s="393" t="e">
        <f t="shared" si="41"/>
        <v>#DIV/0!</v>
      </c>
      <c r="AQ42" s="393" t="e">
        <f t="shared" si="42"/>
        <v>#DIV/0!</v>
      </c>
      <c r="AR42" s="393" t="e">
        <f t="shared" si="43"/>
        <v>#DIV/0!</v>
      </c>
      <c r="AS42" s="393" t="e">
        <f t="shared" si="44"/>
        <v>#DIV/0!</v>
      </c>
      <c r="AT42" s="393" t="e">
        <f t="shared" si="45"/>
        <v>#DIV/0!</v>
      </c>
    </row>
    <row r="43" spans="1:46" ht="15.75" customHeight="1" x14ac:dyDescent="0.25">
      <c r="A43" s="361" t="s">
        <v>1027</v>
      </c>
      <c r="B43" s="388"/>
      <c r="C43" s="388"/>
      <c r="D43" s="388"/>
      <c r="E43" s="377"/>
      <c r="F43" s="377"/>
      <c r="G43" s="377"/>
      <c r="H43" s="377"/>
      <c r="I43" s="377"/>
      <c r="J43" s="409"/>
      <c r="K43" s="377"/>
      <c r="L43" s="377"/>
      <c r="M43" s="377"/>
      <c r="N43" s="377"/>
      <c r="O43" s="377"/>
      <c r="P43" s="377"/>
      <c r="Q43" s="377"/>
      <c r="R43" s="377"/>
      <c r="S43" s="377">
        <v>896</v>
      </c>
      <c r="T43" s="377"/>
      <c r="U43" s="377"/>
      <c r="V43" s="588">
        <f>1356/4*3</f>
        <v>1017</v>
      </c>
      <c r="W43" s="588"/>
      <c r="X43" s="588"/>
      <c r="Y43" s="364">
        <f t="shared" si="24"/>
        <v>0</v>
      </c>
      <c r="Z43" s="364">
        <f t="shared" si="25"/>
        <v>0</v>
      </c>
      <c r="AA43" s="364">
        <f t="shared" si="26"/>
        <v>0</v>
      </c>
      <c r="AB43" s="364">
        <f t="shared" si="27"/>
        <v>0</v>
      </c>
      <c r="AC43" s="364">
        <f t="shared" si="28"/>
        <v>0</v>
      </c>
      <c r="AD43" s="364">
        <f t="shared" si="29"/>
        <v>0</v>
      </c>
      <c r="AE43" s="364">
        <f t="shared" si="30"/>
        <v>0</v>
      </c>
      <c r="AF43" s="364">
        <f t="shared" si="31"/>
        <v>0</v>
      </c>
      <c r="AG43" s="364">
        <f t="shared" si="32"/>
        <v>0</v>
      </c>
      <c r="AH43" s="364">
        <f t="shared" si="33"/>
        <v>0</v>
      </c>
      <c r="AI43" s="393" t="e">
        <f t="shared" si="34"/>
        <v>#DIV/0!</v>
      </c>
      <c r="AJ43" s="393" t="e">
        <f t="shared" si="35"/>
        <v>#DIV/0!</v>
      </c>
      <c r="AK43" s="393" t="e">
        <f t="shared" si="36"/>
        <v>#DIV/0!</v>
      </c>
      <c r="AL43" s="393" t="e">
        <f t="shared" si="37"/>
        <v>#DIV/0!</v>
      </c>
      <c r="AM43" s="393" t="e">
        <f t="shared" si="38"/>
        <v>#DIV/0!</v>
      </c>
      <c r="AN43" s="393" t="e">
        <f t="shared" si="39"/>
        <v>#DIV/0!</v>
      </c>
      <c r="AO43" s="393" t="e">
        <f t="shared" si="40"/>
        <v>#DIV/0!</v>
      </c>
      <c r="AP43" s="393">
        <f t="shared" si="41"/>
        <v>-100</v>
      </c>
      <c r="AQ43" s="393" t="e">
        <f t="shared" si="42"/>
        <v>#DIV/0!</v>
      </c>
      <c r="AR43" s="393" t="e">
        <f t="shared" si="43"/>
        <v>#DIV/0!</v>
      </c>
      <c r="AS43" s="393">
        <f t="shared" si="44"/>
        <v>-100</v>
      </c>
      <c r="AT43" s="393" t="e">
        <f t="shared" si="45"/>
        <v>#DIV/0!</v>
      </c>
    </row>
    <row r="44" spans="1:46" ht="15.75" customHeight="1" x14ac:dyDescent="0.25">
      <c r="A44" s="361" t="s">
        <v>1172</v>
      </c>
      <c r="B44" s="388"/>
      <c r="C44" s="388"/>
      <c r="D44" s="388"/>
      <c r="E44" s="377"/>
      <c r="F44" s="377"/>
      <c r="G44" s="377"/>
      <c r="H44" s="377"/>
      <c r="I44" s="377"/>
      <c r="J44" s="409"/>
      <c r="K44" s="377"/>
      <c r="L44" s="377"/>
      <c r="M44" s="377"/>
      <c r="N44" s="377"/>
      <c r="O44" s="377"/>
      <c r="P44" s="373"/>
      <c r="Q44" s="373"/>
      <c r="R44" s="373"/>
      <c r="S44" s="373"/>
      <c r="T44" s="373">
        <v>863</v>
      </c>
      <c r="U44" s="373"/>
      <c r="V44" s="589">
        <f>1089/4*3</f>
        <v>817</v>
      </c>
      <c r="W44" s="589"/>
      <c r="X44" s="589"/>
      <c r="Y44" s="364">
        <f t="shared" si="24"/>
        <v>0</v>
      </c>
      <c r="Z44" s="364">
        <f t="shared" si="25"/>
        <v>0</v>
      </c>
      <c r="AA44" s="364">
        <f t="shared" si="26"/>
        <v>0</v>
      </c>
      <c r="AB44" s="364">
        <f t="shared" si="27"/>
        <v>0</v>
      </c>
      <c r="AC44" s="364">
        <f t="shared" si="28"/>
        <v>0</v>
      </c>
      <c r="AD44" s="364">
        <f t="shared" si="29"/>
        <v>0</v>
      </c>
      <c r="AE44" s="364">
        <f t="shared" si="30"/>
        <v>0</v>
      </c>
      <c r="AF44" s="364">
        <f t="shared" si="31"/>
        <v>0</v>
      </c>
      <c r="AG44" s="364">
        <f t="shared" si="32"/>
        <v>0</v>
      </c>
      <c r="AH44" s="364">
        <f t="shared" si="33"/>
        <v>0</v>
      </c>
      <c r="AI44" s="393" t="e">
        <f t="shared" si="34"/>
        <v>#DIV/0!</v>
      </c>
      <c r="AJ44" s="393" t="e">
        <f t="shared" si="35"/>
        <v>#DIV/0!</v>
      </c>
      <c r="AK44" s="393" t="e">
        <f t="shared" si="36"/>
        <v>#DIV/0!</v>
      </c>
      <c r="AL44" s="393" t="e">
        <f t="shared" si="37"/>
        <v>#DIV/0!</v>
      </c>
      <c r="AM44" s="393" t="e">
        <f t="shared" si="38"/>
        <v>#DIV/0!</v>
      </c>
      <c r="AN44" s="393" t="e">
        <f t="shared" si="39"/>
        <v>#DIV/0!</v>
      </c>
      <c r="AO44" s="393" t="e">
        <f t="shared" si="40"/>
        <v>#DIV/0!</v>
      </c>
      <c r="AP44" s="393" t="e">
        <f t="shared" si="41"/>
        <v>#DIV/0!</v>
      </c>
      <c r="AQ44" s="393">
        <f t="shared" si="42"/>
        <v>-100</v>
      </c>
      <c r="AR44" s="393" t="e">
        <f t="shared" si="43"/>
        <v>#DIV/0!</v>
      </c>
      <c r="AS44" s="393">
        <f t="shared" si="44"/>
        <v>-100</v>
      </c>
      <c r="AT44" s="393" t="e">
        <f t="shared" si="45"/>
        <v>#DIV/0!</v>
      </c>
    </row>
    <row r="45" spans="1:46" ht="15.75" customHeight="1" x14ac:dyDescent="0.25">
      <c r="A45" s="361" t="s">
        <v>3500</v>
      </c>
      <c r="B45" s="388">
        <f>339.5*3</f>
        <v>1019</v>
      </c>
      <c r="C45" s="388">
        <f>305*3</f>
        <v>915</v>
      </c>
      <c r="D45" s="388">
        <f>300.5*3</f>
        <v>902</v>
      </c>
      <c r="E45" s="377"/>
      <c r="F45" s="377">
        <v>974</v>
      </c>
      <c r="G45" s="377">
        <v>962</v>
      </c>
      <c r="H45" s="377"/>
      <c r="I45" s="377">
        <v>1015</v>
      </c>
      <c r="J45" s="409"/>
      <c r="K45" s="377"/>
      <c r="L45" s="377"/>
      <c r="M45" s="377">
        <v>955</v>
      </c>
      <c r="N45" s="377"/>
      <c r="O45" s="377"/>
      <c r="P45" s="373"/>
      <c r="Q45" s="373">
        <v>949</v>
      </c>
      <c r="R45" s="373">
        <v>1012</v>
      </c>
      <c r="S45" s="373">
        <v>1058</v>
      </c>
      <c r="T45" s="373"/>
      <c r="U45" s="373">
        <v>1049</v>
      </c>
      <c r="V45" s="589">
        <f>1341/4*3</f>
        <v>1006</v>
      </c>
      <c r="W45" s="589"/>
      <c r="X45" s="589">
        <v>1035</v>
      </c>
      <c r="Y45" s="364">
        <f t="shared" si="24"/>
        <v>-13.316000000000001</v>
      </c>
      <c r="Z45" s="364">
        <f t="shared" si="25"/>
        <v>-1.4690000000000001</v>
      </c>
      <c r="AA45" s="364">
        <f t="shared" si="26"/>
        <v>-100.44499999999999</v>
      </c>
      <c r="AB45" s="364">
        <f t="shared" si="27"/>
        <v>54.110999999999997</v>
      </c>
      <c r="AC45" s="364">
        <f t="shared" si="28"/>
        <v>-1.4530000000000001</v>
      </c>
      <c r="AD45" s="364">
        <f t="shared" si="29"/>
        <v>-114.797</v>
      </c>
      <c r="AE45" s="364">
        <f t="shared" si="30"/>
        <v>-129.29900000000001</v>
      </c>
      <c r="AF45" s="364">
        <f t="shared" si="31"/>
        <v>0</v>
      </c>
      <c r="AG45" s="364">
        <f t="shared" si="32"/>
        <v>0</v>
      </c>
      <c r="AH45" s="364">
        <f t="shared" si="33"/>
        <v>53.055999999999997</v>
      </c>
      <c r="AI45" s="393" t="e">
        <f t="shared" si="34"/>
        <v>#DIV/0!</v>
      </c>
      <c r="AJ45" s="393">
        <f t="shared" si="35"/>
        <v>-100</v>
      </c>
      <c r="AK45" s="393" t="e">
        <f t="shared" si="36"/>
        <v>#DIV/0!</v>
      </c>
      <c r="AL45" s="393" t="e">
        <f t="shared" si="37"/>
        <v>#DIV/0!</v>
      </c>
      <c r="AM45" s="393" t="e">
        <f t="shared" si="38"/>
        <v>#DIV/0!</v>
      </c>
      <c r="AN45" s="393">
        <f t="shared" si="39"/>
        <v>6.6390000000000002</v>
      </c>
      <c r="AO45" s="393">
        <f t="shared" si="40"/>
        <v>4.5449999999999999</v>
      </c>
      <c r="AP45" s="393">
        <f t="shared" si="41"/>
        <v>-100</v>
      </c>
      <c r="AQ45" s="393" t="e">
        <f t="shared" si="42"/>
        <v>#DIV/0!</v>
      </c>
      <c r="AR45" s="393">
        <f t="shared" si="43"/>
        <v>-4.0990000000000002</v>
      </c>
      <c r="AS45" s="393">
        <f t="shared" si="44"/>
        <v>-100</v>
      </c>
      <c r="AT45" s="393" t="e">
        <f t="shared" si="45"/>
        <v>#DIV/0!</v>
      </c>
    </row>
    <row r="46" spans="1:46" ht="15.75" customHeight="1" x14ac:dyDescent="0.25">
      <c r="A46" s="361" t="s">
        <v>2130</v>
      </c>
      <c r="B46" s="389">
        <f>260.5*3</f>
        <v>782</v>
      </c>
      <c r="C46" s="389">
        <f>296*3</f>
        <v>888</v>
      </c>
      <c r="D46" s="388"/>
      <c r="E46" s="377">
        <v>885</v>
      </c>
      <c r="F46" s="377">
        <v>913</v>
      </c>
      <c r="G46" s="377">
        <v>903</v>
      </c>
      <c r="H46" s="377"/>
      <c r="I46" s="377"/>
      <c r="J46" s="409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588"/>
      <c r="W46" s="588"/>
      <c r="X46" s="588"/>
      <c r="Y46" s="364">
        <f t="shared" si="24"/>
        <v>10.413</v>
      </c>
      <c r="Z46" s="364">
        <f t="shared" si="25"/>
        <v>-97.367999999999995</v>
      </c>
      <c r="AA46" s="364">
        <f t="shared" si="26"/>
        <v>49.167000000000002</v>
      </c>
      <c r="AB46" s="364">
        <f t="shared" si="27"/>
        <v>3.06</v>
      </c>
      <c r="AC46" s="364">
        <f t="shared" si="28"/>
        <v>-1.127</v>
      </c>
      <c r="AD46" s="364">
        <f t="shared" si="29"/>
        <v>-100.669</v>
      </c>
      <c r="AE46" s="364">
        <f t="shared" si="30"/>
        <v>0</v>
      </c>
      <c r="AF46" s="364">
        <f t="shared" si="31"/>
        <v>0</v>
      </c>
      <c r="AG46" s="364">
        <f t="shared" si="32"/>
        <v>0</v>
      </c>
      <c r="AH46" s="364">
        <f t="shared" si="33"/>
        <v>0</v>
      </c>
      <c r="AI46" s="393" t="e">
        <f t="shared" si="34"/>
        <v>#DIV/0!</v>
      </c>
      <c r="AJ46" s="393" t="e">
        <f t="shared" si="35"/>
        <v>#DIV/0!</v>
      </c>
      <c r="AK46" s="393" t="e">
        <f t="shared" si="36"/>
        <v>#DIV/0!</v>
      </c>
      <c r="AL46" s="393" t="e">
        <f t="shared" si="37"/>
        <v>#DIV/0!</v>
      </c>
      <c r="AM46" s="393" t="e">
        <f t="shared" si="38"/>
        <v>#DIV/0!</v>
      </c>
      <c r="AN46" s="393" t="e">
        <f t="shared" si="39"/>
        <v>#DIV/0!</v>
      </c>
      <c r="AO46" s="393" t="e">
        <f t="shared" si="40"/>
        <v>#DIV/0!</v>
      </c>
      <c r="AP46" s="393" t="e">
        <f t="shared" si="41"/>
        <v>#DIV/0!</v>
      </c>
      <c r="AQ46" s="393" t="e">
        <f t="shared" si="42"/>
        <v>#DIV/0!</v>
      </c>
      <c r="AR46" s="393" t="e">
        <f t="shared" si="43"/>
        <v>#DIV/0!</v>
      </c>
      <c r="AS46" s="393" t="e">
        <f t="shared" si="44"/>
        <v>#DIV/0!</v>
      </c>
      <c r="AT46" s="393" t="e">
        <f t="shared" si="45"/>
        <v>#DIV/0!</v>
      </c>
    </row>
    <row r="47" spans="1:46" ht="15.75" customHeight="1" x14ac:dyDescent="0.25">
      <c r="A47" s="361" t="s">
        <v>1950</v>
      </c>
      <c r="B47" s="388"/>
      <c r="C47" s="388"/>
      <c r="D47" s="388"/>
      <c r="E47" s="377"/>
      <c r="F47" s="377"/>
      <c r="G47" s="377">
        <v>1070</v>
      </c>
      <c r="H47" s="377">
        <v>1115</v>
      </c>
      <c r="I47" s="377">
        <v>1104</v>
      </c>
      <c r="J47" s="409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588"/>
      <c r="W47" s="588"/>
      <c r="X47" s="588"/>
      <c r="Y47" s="364">
        <f t="shared" si="24"/>
        <v>0</v>
      </c>
      <c r="Z47" s="364">
        <f t="shared" si="25"/>
        <v>0</v>
      </c>
      <c r="AA47" s="364">
        <f t="shared" si="26"/>
        <v>0</v>
      </c>
      <c r="AB47" s="364">
        <f t="shared" si="27"/>
        <v>0</v>
      </c>
      <c r="AC47" s="364">
        <f t="shared" si="28"/>
        <v>59.444000000000003</v>
      </c>
      <c r="AD47" s="364">
        <f t="shared" si="29"/>
        <v>6.1639999999999997</v>
      </c>
      <c r="AE47" s="364">
        <f t="shared" si="30"/>
        <v>-158.62100000000001</v>
      </c>
      <c r="AF47" s="364">
        <f t="shared" si="31"/>
        <v>0</v>
      </c>
      <c r="AG47" s="364">
        <f t="shared" si="32"/>
        <v>0</v>
      </c>
      <c r="AH47" s="364">
        <f t="shared" si="33"/>
        <v>0</v>
      </c>
      <c r="AI47" s="393" t="e">
        <f t="shared" si="34"/>
        <v>#DIV/0!</v>
      </c>
      <c r="AJ47" s="393" t="e">
        <f t="shared" si="35"/>
        <v>#DIV/0!</v>
      </c>
      <c r="AK47" s="393" t="e">
        <f t="shared" si="36"/>
        <v>#DIV/0!</v>
      </c>
      <c r="AL47" s="393" t="e">
        <f t="shared" si="37"/>
        <v>#DIV/0!</v>
      </c>
      <c r="AM47" s="393" t="e">
        <f t="shared" si="38"/>
        <v>#DIV/0!</v>
      </c>
      <c r="AN47" s="393" t="e">
        <f t="shared" si="39"/>
        <v>#DIV/0!</v>
      </c>
      <c r="AO47" s="393" t="e">
        <f t="shared" si="40"/>
        <v>#DIV/0!</v>
      </c>
      <c r="AP47" s="393" t="e">
        <f t="shared" si="41"/>
        <v>#DIV/0!</v>
      </c>
      <c r="AQ47" s="393" t="e">
        <f t="shared" si="42"/>
        <v>#DIV/0!</v>
      </c>
      <c r="AR47" s="393" t="e">
        <f t="shared" si="43"/>
        <v>#DIV/0!</v>
      </c>
      <c r="AS47" s="393" t="e">
        <f t="shared" si="44"/>
        <v>#DIV/0!</v>
      </c>
      <c r="AT47" s="393" t="e">
        <f t="shared" si="45"/>
        <v>#DIV/0!</v>
      </c>
    </row>
    <row r="48" spans="1:46" ht="15.75" customHeight="1" x14ac:dyDescent="0.25">
      <c r="A48" s="360" t="s">
        <v>2132</v>
      </c>
      <c r="B48" s="389"/>
      <c r="C48" s="389">
        <f>399.5*3</f>
        <v>1199</v>
      </c>
      <c r="D48" s="389">
        <f>388.5*3</f>
        <v>1166</v>
      </c>
      <c r="E48" s="377">
        <v>1283</v>
      </c>
      <c r="F48" s="377">
        <v>1285</v>
      </c>
      <c r="G48" s="377">
        <v>1314</v>
      </c>
      <c r="H48" s="377">
        <v>1304</v>
      </c>
      <c r="I48" s="377"/>
      <c r="J48" s="409">
        <f>1696/4*3</f>
        <v>1272</v>
      </c>
      <c r="K48" s="377"/>
      <c r="L48" s="377">
        <v>1316</v>
      </c>
      <c r="M48" s="377">
        <v>1418</v>
      </c>
      <c r="N48" s="377"/>
      <c r="O48" s="377">
        <v>1392</v>
      </c>
      <c r="P48" s="373"/>
      <c r="Q48" s="373"/>
      <c r="R48" s="373"/>
      <c r="S48" s="373">
        <v>1423</v>
      </c>
      <c r="T48" s="373">
        <v>1457</v>
      </c>
      <c r="U48" s="373"/>
      <c r="V48" s="589">
        <f>1952/4*3</f>
        <v>1464</v>
      </c>
      <c r="W48" s="589"/>
      <c r="X48" s="589">
        <v>1447</v>
      </c>
      <c r="Y48" s="364">
        <f t="shared" si="24"/>
        <v>66.611000000000004</v>
      </c>
      <c r="Z48" s="364">
        <f t="shared" si="25"/>
        <v>-5.4909999999999997</v>
      </c>
      <c r="AA48" s="364">
        <f t="shared" si="26"/>
        <v>18.454000000000001</v>
      </c>
      <c r="AB48" s="364">
        <f t="shared" si="27"/>
        <v>0.38700000000000001</v>
      </c>
      <c r="AC48" s="364">
        <f t="shared" si="28"/>
        <v>5.6310000000000002</v>
      </c>
      <c r="AD48" s="364">
        <f t="shared" si="29"/>
        <v>-2.0579999999999998</v>
      </c>
      <c r="AE48" s="364">
        <f t="shared" si="30"/>
        <v>70.667000000000002</v>
      </c>
      <c r="AF48" s="364">
        <f t="shared" si="31"/>
        <v>-240.90899999999999</v>
      </c>
      <c r="AG48" s="364">
        <f t="shared" si="32"/>
        <v>73.111000000000004</v>
      </c>
      <c r="AH48" s="364">
        <f t="shared" si="33"/>
        <v>21.074000000000002</v>
      </c>
      <c r="AI48" s="393">
        <f t="shared" si="34"/>
        <v>7.7510000000000003</v>
      </c>
      <c r="AJ48" s="393">
        <f t="shared" si="35"/>
        <v>-100</v>
      </c>
      <c r="AK48" s="393" t="e">
        <f t="shared" si="36"/>
        <v>#DIV/0!</v>
      </c>
      <c r="AL48" s="393">
        <f t="shared" si="37"/>
        <v>-100</v>
      </c>
      <c r="AM48" s="393" t="e">
        <f t="shared" si="38"/>
        <v>#DIV/0!</v>
      </c>
      <c r="AN48" s="393" t="e">
        <f t="shared" si="39"/>
        <v>#DIV/0!</v>
      </c>
      <c r="AO48" s="393" t="e">
        <f t="shared" si="40"/>
        <v>#DIV/0!</v>
      </c>
      <c r="AP48" s="393">
        <f t="shared" si="41"/>
        <v>2.3889999999999998</v>
      </c>
      <c r="AQ48" s="393">
        <f t="shared" si="42"/>
        <v>-100</v>
      </c>
      <c r="AR48" s="393" t="e">
        <f t="shared" si="43"/>
        <v>#DIV/0!</v>
      </c>
      <c r="AS48" s="393">
        <f t="shared" si="44"/>
        <v>-100</v>
      </c>
      <c r="AT48" s="393" t="e">
        <f t="shared" si="45"/>
        <v>#DIV/0!</v>
      </c>
    </row>
    <row r="49" spans="1:46" ht="15.75" customHeight="1" x14ac:dyDescent="0.25">
      <c r="A49" s="355" t="s">
        <v>2201</v>
      </c>
      <c r="B49" s="388"/>
      <c r="C49" s="388">
        <f>457*3</f>
        <v>1371</v>
      </c>
      <c r="D49" s="388">
        <f>886/2*3</f>
        <v>1329</v>
      </c>
      <c r="E49" s="410"/>
      <c r="F49" s="377">
        <v>1280</v>
      </c>
      <c r="G49" s="377">
        <v>1179</v>
      </c>
      <c r="H49" s="377">
        <v>1169</v>
      </c>
      <c r="I49" s="377">
        <v>1209</v>
      </c>
      <c r="J49" s="409">
        <f>1543/4*3</f>
        <v>1157</v>
      </c>
      <c r="K49" s="377">
        <v>1188</v>
      </c>
      <c r="L49" s="377">
        <v>1220</v>
      </c>
      <c r="M49" s="377">
        <v>1190</v>
      </c>
      <c r="N49" s="377"/>
      <c r="O49" s="377">
        <v>1197</v>
      </c>
      <c r="P49" s="377">
        <v>1144</v>
      </c>
      <c r="Q49" s="377">
        <v>1365</v>
      </c>
      <c r="R49" s="377">
        <v>1421</v>
      </c>
      <c r="S49" s="377">
        <v>1463</v>
      </c>
      <c r="T49" s="377"/>
      <c r="U49" s="377">
        <v>1446</v>
      </c>
      <c r="V49" s="588">
        <f>1945/4*3</f>
        <v>1459</v>
      </c>
      <c r="W49" s="588"/>
      <c r="X49" s="588">
        <v>1497</v>
      </c>
      <c r="Y49" s="364">
        <f t="shared" si="24"/>
        <v>76.167000000000002</v>
      </c>
      <c r="Z49" s="364">
        <f t="shared" si="25"/>
        <v>-9.7899999999999991</v>
      </c>
      <c r="AA49" s="364">
        <f t="shared" si="26"/>
        <v>-282.166</v>
      </c>
      <c r="AB49" s="364">
        <f t="shared" si="27"/>
        <v>71.111000000000004</v>
      </c>
      <c r="AC49" s="364">
        <f t="shared" si="28"/>
        <v>-19.422999999999998</v>
      </c>
      <c r="AD49" s="364">
        <f t="shared" si="29"/>
        <v>-1.61</v>
      </c>
      <c r="AE49" s="364">
        <f t="shared" si="30"/>
        <v>-8.7989999999999995</v>
      </c>
      <c r="AF49" s="364">
        <f t="shared" si="31"/>
        <v>4.8209999999999997</v>
      </c>
      <c r="AG49" s="364">
        <f t="shared" si="32"/>
        <v>5.2290000000000001</v>
      </c>
      <c r="AH49" s="364">
        <f t="shared" si="33"/>
        <v>-5.1719999999999997</v>
      </c>
      <c r="AI49" s="393">
        <f t="shared" si="34"/>
        <v>-2.4590000000000001</v>
      </c>
      <c r="AJ49" s="393">
        <f t="shared" si="35"/>
        <v>-100</v>
      </c>
      <c r="AK49" s="393" t="e">
        <f t="shared" si="36"/>
        <v>#DIV/0!</v>
      </c>
      <c r="AL49" s="393">
        <f t="shared" si="37"/>
        <v>-4.4279999999999999</v>
      </c>
      <c r="AM49" s="393">
        <f t="shared" si="38"/>
        <v>19.318000000000001</v>
      </c>
      <c r="AN49" s="393">
        <f t="shared" si="39"/>
        <v>4.1029999999999998</v>
      </c>
      <c r="AO49" s="393">
        <f t="shared" si="40"/>
        <v>2.956</v>
      </c>
      <c r="AP49" s="393">
        <f t="shared" si="41"/>
        <v>-100</v>
      </c>
      <c r="AQ49" s="393" t="e">
        <f t="shared" si="42"/>
        <v>#DIV/0!</v>
      </c>
      <c r="AR49" s="393">
        <f t="shared" si="43"/>
        <v>0.89900000000000002</v>
      </c>
      <c r="AS49" s="393">
        <f t="shared" si="44"/>
        <v>-100</v>
      </c>
      <c r="AT49" s="393" t="e">
        <f t="shared" si="45"/>
        <v>#DIV/0!</v>
      </c>
    </row>
    <row r="50" spans="1:46" ht="15.75" customHeight="1" x14ac:dyDescent="0.25">
      <c r="A50" s="361" t="s">
        <v>3756</v>
      </c>
      <c r="B50" s="388">
        <f>277.5*3</f>
        <v>833</v>
      </c>
      <c r="C50" s="388">
        <f>295.75*3</f>
        <v>887</v>
      </c>
      <c r="D50" s="388">
        <f>272.5*3</f>
        <v>818</v>
      </c>
      <c r="E50" s="377"/>
      <c r="F50" s="377"/>
      <c r="G50" s="377"/>
      <c r="H50" s="377"/>
      <c r="I50" s="377"/>
      <c r="J50" s="409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588"/>
      <c r="W50" s="588"/>
      <c r="X50" s="588"/>
      <c r="Y50" s="364">
        <f t="shared" si="24"/>
        <v>5.5839999999999996</v>
      </c>
      <c r="Z50" s="364">
        <f t="shared" si="25"/>
        <v>-7.5579999999999998</v>
      </c>
      <c r="AA50" s="364">
        <f t="shared" si="26"/>
        <v>-83.299000000000007</v>
      </c>
      <c r="AB50" s="364">
        <f t="shared" si="27"/>
        <v>0</v>
      </c>
      <c r="AC50" s="364">
        <f t="shared" si="28"/>
        <v>0</v>
      </c>
      <c r="AD50" s="364">
        <f t="shared" si="29"/>
        <v>0</v>
      </c>
      <c r="AE50" s="364">
        <f t="shared" si="30"/>
        <v>0</v>
      </c>
      <c r="AF50" s="364">
        <f t="shared" si="31"/>
        <v>0</v>
      </c>
      <c r="AG50" s="364">
        <f t="shared" si="32"/>
        <v>0</v>
      </c>
      <c r="AH50" s="364">
        <f t="shared" si="33"/>
        <v>0</v>
      </c>
      <c r="AI50" s="393" t="e">
        <f t="shared" si="34"/>
        <v>#DIV/0!</v>
      </c>
      <c r="AJ50" s="393" t="e">
        <f t="shared" si="35"/>
        <v>#DIV/0!</v>
      </c>
      <c r="AK50" s="393" t="e">
        <f t="shared" si="36"/>
        <v>#DIV/0!</v>
      </c>
      <c r="AL50" s="393" t="e">
        <f t="shared" si="37"/>
        <v>#DIV/0!</v>
      </c>
      <c r="AM50" s="393" t="e">
        <f t="shared" si="38"/>
        <v>#DIV/0!</v>
      </c>
      <c r="AN50" s="393" t="e">
        <f t="shared" si="39"/>
        <v>#DIV/0!</v>
      </c>
      <c r="AO50" s="393" t="e">
        <f t="shared" si="40"/>
        <v>#DIV/0!</v>
      </c>
      <c r="AP50" s="393" t="e">
        <f t="shared" si="41"/>
        <v>#DIV/0!</v>
      </c>
      <c r="AQ50" s="393" t="e">
        <f t="shared" si="42"/>
        <v>#DIV/0!</v>
      </c>
      <c r="AR50" s="393" t="e">
        <f t="shared" si="43"/>
        <v>#DIV/0!</v>
      </c>
      <c r="AS50" s="393" t="e">
        <f t="shared" si="44"/>
        <v>#DIV/0!</v>
      </c>
      <c r="AT50" s="393" t="e">
        <f t="shared" si="45"/>
        <v>#DIV/0!</v>
      </c>
    </row>
    <row r="51" spans="1:46" ht="15.75" customHeight="1" x14ac:dyDescent="0.25">
      <c r="A51" s="361" t="s">
        <v>3755</v>
      </c>
      <c r="B51" s="388">
        <f>280.5*3</f>
        <v>842</v>
      </c>
      <c r="C51" s="388">
        <f>170.75*3</f>
        <v>512</v>
      </c>
      <c r="D51" s="388"/>
      <c r="E51" s="377">
        <v>1013</v>
      </c>
      <c r="F51" s="377"/>
      <c r="G51" s="377">
        <v>763</v>
      </c>
      <c r="H51" s="377"/>
      <c r="I51" s="377"/>
      <c r="J51" s="409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588"/>
      <c r="W51" s="588"/>
      <c r="X51" s="588"/>
      <c r="Y51" s="364">
        <f t="shared" si="24"/>
        <v>-34.447000000000003</v>
      </c>
      <c r="Z51" s="364">
        <f t="shared" si="25"/>
        <v>-39.752000000000002</v>
      </c>
      <c r="AA51" s="364">
        <f t="shared" si="26"/>
        <v>56.277999999999999</v>
      </c>
      <c r="AB51" s="364">
        <f t="shared" si="27"/>
        <v>-128.71700000000001</v>
      </c>
      <c r="AC51" s="364">
        <f t="shared" si="28"/>
        <v>42.389000000000003</v>
      </c>
      <c r="AD51" s="364">
        <f t="shared" si="29"/>
        <v>-73.578000000000003</v>
      </c>
      <c r="AE51" s="364">
        <f t="shared" si="30"/>
        <v>0</v>
      </c>
      <c r="AF51" s="364">
        <f t="shared" si="31"/>
        <v>0</v>
      </c>
      <c r="AG51" s="364">
        <f t="shared" si="32"/>
        <v>0</v>
      </c>
      <c r="AH51" s="364">
        <f t="shared" si="33"/>
        <v>0</v>
      </c>
      <c r="AI51" s="393" t="e">
        <f t="shared" si="34"/>
        <v>#DIV/0!</v>
      </c>
      <c r="AJ51" s="393" t="e">
        <f t="shared" si="35"/>
        <v>#DIV/0!</v>
      </c>
      <c r="AK51" s="393" t="e">
        <f t="shared" si="36"/>
        <v>#DIV/0!</v>
      </c>
      <c r="AL51" s="393" t="e">
        <f t="shared" si="37"/>
        <v>#DIV/0!</v>
      </c>
      <c r="AM51" s="393" t="e">
        <f t="shared" si="38"/>
        <v>#DIV/0!</v>
      </c>
      <c r="AN51" s="393" t="e">
        <f t="shared" si="39"/>
        <v>#DIV/0!</v>
      </c>
      <c r="AO51" s="393" t="e">
        <f t="shared" si="40"/>
        <v>#DIV/0!</v>
      </c>
      <c r="AP51" s="393" t="e">
        <f t="shared" si="41"/>
        <v>#DIV/0!</v>
      </c>
      <c r="AQ51" s="393" t="e">
        <f t="shared" si="42"/>
        <v>#DIV/0!</v>
      </c>
      <c r="AR51" s="393" t="e">
        <f t="shared" si="43"/>
        <v>#DIV/0!</v>
      </c>
      <c r="AS51" s="393" t="e">
        <f t="shared" si="44"/>
        <v>#DIV/0!</v>
      </c>
      <c r="AT51" s="393" t="e">
        <f t="shared" si="45"/>
        <v>#DIV/0!</v>
      </c>
    </row>
    <row r="52" spans="1:46" ht="15.75" customHeight="1" x14ac:dyDescent="0.25">
      <c r="A52" s="355" t="s">
        <v>2127</v>
      </c>
      <c r="B52" s="388"/>
      <c r="C52" s="388"/>
      <c r="D52" s="388"/>
      <c r="E52" s="377"/>
      <c r="F52" s="377"/>
      <c r="G52" s="377"/>
      <c r="H52" s="377"/>
      <c r="I52" s="377"/>
      <c r="J52" s="409"/>
      <c r="K52" s="377"/>
      <c r="L52" s="377"/>
      <c r="M52" s="377"/>
      <c r="N52" s="377"/>
      <c r="O52" s="377">
        <v>804</v>
      </c>
      <c r="P52" s="373"/>
      <c r="Q52" s="373"/>
      <c r="R52" s="373"/>
      <c r="S52" s="373"/>
      <c r="T52" s="373"/>
      <c r="U52" s="373"/>
      <c r="V52" s="589"/>
      <c r="W52" s="589"/>
      <c r="X52" s="589"/>
      <c r="Y52" s="364">
        <f t="shared" si="24"/>
        <v>0</v>
      </c>
      <c r="Z52" s="364">
        <f t="shared" si="25"/>
        <v>0</v>
      </c>
      <c r="AA52" s="364">
        <f t="shared" si="26"/>
        <v>0</v>
      </c>
      <c r="AB52" s="364">
        <f t="shared" si="27"/>
        <v>0</v>
      </c>
      <c r="AC52" s="364">
        <f t="shared" si="28"/>
        <v>0</v>
      </c>
      <c r="AD52" s="364">
        <f t="shared" si="29"/>
        <v>0</v>
      </c>
      <c r="AE52" s="364">
        <f t="shared" si="30"/>
        <v>0</v>
      </c>
      <c r="AF52" s="364">
        <f t="shared" si="31"/>
        <v>0</v>
      </c>
      <c r="AG52" s="364">
        <f t="shared" si="32"/>
        <v>0</v>
      </c>
      <c r="AH52" s="364">
        <f t="shared" si="33"/>
        <v>0</v>
      </c>
      <c r="AI52" s="393" t="e">
        <f t="shared" si="34"/>
        <v>#DIV/0!</v>
      </c>
      <c r="AJ52" s="393" t="e">
        <f t="shared" si="35"/>
        <v>#DIV/0!</v>
      </c>
      <c r="AK52" s="393" t="e">
        <f t="shared" si="36"/>
        <v>#DIV/0!</v>
      </c>
      <c r="AL52" s="393">
        <f t="shared" si="37"/>
        <v>-100</v>
      </c>
      <c r="AM52" s="393" t="e">
        <f t="shared" si="38"/>
        <v>#DIV/0!</v>
      </c>
      <c r="AN52" s="393" t="e">
        <f t="shared" si="39"/>
        <v>#DIV/0!</v>
      </c>
      <c r="AO52" s="393" t="e">
        <f t="shared" si="40"/>
        <v>#DIV/0!</v>
      </c>
      <c r="AP52" s="393" t="e">
        <f t="shared" si="41"/>
        <v>#DIV/0!</v>
      </c>
      <c r="AQ52" s="393" t="e">
        <f t="shared" si="42"/>
        <v>#DIV/0!</v>
      </c>
      <c r="AR52" s="393" t="e">
        <f t="shared" si="43"/>
        <v>#DIV/0!</v>
      </c>
      <c r="AS52" s="393" t="e">
        <f t="shared" si="44"/>
        <v>#DIV/0!</v>
      </c>
      <c r="AT52" s="393" t="e">
        <f t="shared" si="45"/>
        <v>#DIV/0!</v>
      </c>
    </row>
    <row r="53" spans="1:46" ht="15.75" customHeight="1" x14ac:dyDescent="0.25">
      <c r="A53" s="355" t="s">
        <v>2123</v>
      </c>
      <c r="B53" s="388"/>
      <c r="C53" s="388"/>
      <c r="D53" s="388"/>
      <c r="E53" s="377"/>
      <c r="F53" s="377"/>
      <c r="G53" s="377"/>
      <c r="H53" s="377"/>
      <c r="I53" s="377"/>
      <c r="J53" s="409"/>
      <c r="K53" s="377"/>
      <c r="L53" s="377">
        <v>777</v>
      </c>
      <c r="M53" s="377">
        <v>974</v>
      </c>
      <c r="N53" s="377">
        <v>930</v>
      </c>
      <c r="O53" s="377">
        <v>925</v>
      </c>
      <c r="P53" s="377">
        <v>854</v>
      </c>
      <c r="Q53" s="377"/>
      <c r="R53" s="377"/>
      <c r="S53" s="377">
        <v>959</v>
      </c>
      <c r="T53" s="377">
        <v>958</v>
      </c>
      <c r="U53" s="377">
        <v>908</v>
      </c>
      <c r="V53" s="588"/>
      <c r="W53" s="588"/>
      <c r="X53" s="588"/>
      <c r="Y53" s="364">
        <f t="shared" si="24"/>
        <v>0</v>
      </c>
      <c r="Z53" s="364">
        <f t="shared" si="25"/>
        <v>0</v>
      </c>
      <c r="AA53" s="364">
        <f t="shared" si="26"/>
        <v>0</v>
      </c>
      <c r="AB53" s="364">
        <f t="shared" si="27"/>
        <v>0</v>
      </c>
      <c r="AC53" s="364">
        <f t="shared" si="28"/>
        <v>0</v>
      </c>
      <c r="AD53" s="364">
        <f t="shared" si="29"/>
        <v>0</v>
      </c>
      <c r="AE53" s="364">
        <f t="shared" si="30"/>
        <v>0</v>
      </c>
      <c r="AF53" s="364">
        <f t="shared" si="31"/>
        <v>0</v>
      </c>
      <c r="AG53" s="364">
        <f t="shared" si="32"/>
        <v>43.167000000000002</v>
      </c>
      <c r="AH53" s="364">
        <f t="shared" si="33"/>
        <v>19.257000000000001</v>
      </c>
      <c r="AI53" s="393">
        <f t="shared" si="34"/>
        <v>25.353999999999999</v>
      </c>
      <c r="AJ53" s="393">
        <f t="shared" si="35"/>
        <v>-4.5170000000000003</v>
      </c>
      <c r="AK53" s="393">
        <f t="shared" si="36"/>
        <v>-0.53800000000000003</v>
      </c>
      <c r="AL53" s="393">
        <f t="shared" si="37"/>
        <v>-7.6760000000000002</v>
      </c>
      <c r="AM53" s="393">
        <f t="shared" si="38"/>
        <v>-100</v>
      </c>
      <c r="AN53" s="393" t="e">
        <f t="shared" si="39"/>
        <v>#DIV/0!</v>
      </c>
      <c r="AO53" s="393" t="e">
        <f t="shared" si="40"/>
        <v>#DIV/0!</v>
      </c>
      <c r="AP53" s="393">
        <f t="shared" si="41"/>
        <v>-0.104</v>
      </c>
      <c r="AQ53" s="393">
        <f t="shared" si="42"/>
        <v>-5.2190000000000003</v>
      </c>
      <c r="AR53" s="393">
        <f t="shared" si="43"/>
        <v>-100</v>
      </c>
      <c r="AS53" s="393" t="e">
        <f t="shared" si="44"/>
        <v>#DIV/0!</v>
      </c>
      <c r="AT53" s="393" t="e">
        <f t="shared" si="45"/>
        <v>#DIV/0!</v>
      </c>
    </row>
    <row r="54" spans="1:46" ht="15.75" customHeight="1" x14ac:dyDescent="0.25">
      <c r="A54" s="355" t="s">
        <v>2117</v>
      </c>
      <c r="B54" s="388">
        <f>362*3</f>
        <v>1086</v>
      </c>
      <c r="C54" s="388">
        <f>346.75*3</f>
        <v>1040</v>
      </c>
      <c r="D54" s="388">
        <f>344*3</f>
        <v>1032</v>
      </c>
      <c r="E54" s="377">
        <v>1069</v>
      </c>
      <c r="F54" s="377">
        <v>1089</v>
      </c>
      <c r="G54" s="377">
        <v>1069</v>
      </c>
      <c r="H54" s="377">
        <v>1102</v>
      </c>
      <c r="I54" s="377">
        <v>1051</v>
      </c>
      <c r="J54" s="409">
        <f>1377/4*3</f>
        <v>1033</v>
      </c>
      <c r="K54" s="377">
        <v>868</v>
      </c>
      <c r="L54" s="377">
        <v>943</v>
      </c>
      <c r="M54" s="377">
        <v>1053</v>
      </c>
      <c r="N54" s="377"/>
      <c r="O54" s="377">
        <v>1000</v>
      </c>
      <c r="P54" s="373"/>
      <c r="Q54" s="373">
        <v>955</v>
      </c>
      <c r="R54" s="373">
        <v>1017</v>
      </c>
      <c r="S54" s="373"/>
      <c r="T54" s="373">
        <v>1022</v>
      </c>
      <c r="U54" s="373"/>
      <c r="V54" s="589">
        <f>1394/4*3</f>
        <v>1046</v>
      </c>
      <c r="W54" s="589"/>
      <c r="X54" s="589">
        <v>979</v>
      </c>
      <c r="Y54" s="364">
        <f t="shared" si="24"/>
        <v>-6.4429999999999996</v>
      </c>
      <c r="Z54" s="364">
        <f t="shared" si="25"/>
        <v>-1.0529999999999999</v>
      </c>
      <c r="AA54" s="364">
        <f t="shared" si="26"/>
        <v>4.8179999999999996</v>
      </c>
      <c r="AB54" s="364">
        <f t="shared" si="27"/>
        <v>2.7360000000000002</v>
      </c>
      <c r="AC54" s="364">
        <f t="shared" si="28"/>
        <v>-2.8130000000000002</v>
      </c>
      <c r="AD54" s="364">
        <f t="shared" si="29"/>
        <v>4.5140000000000002</v>
      </c>
      <c r="AE54" s="364">
        <f t="shared" si="30"/>
        <v>-2.403</v>
      </c>
      <c r="AF54" s="364">
        <f t="shared" si="31"/>
        <v>-21.512</v>
      </c>
      <c r="AG54" s="364">
        <f t="shared" si="32"/>
        <v>8.0470000000000006</v>
      </c>
      <c r="AH54" s="364">
        <f t="shared" si="33"/>
        <v>12.835000000000001</v>
      </c>
      <c r="AI54" s="393">
        <f t="shared" si="34"/>
        <v>11.664999999999999</v>
      </c>
      <c r="AJ54" s="393">
        <f t="shared" si="35"/>
        <v>-100</v>
      </c>
      <c r="AK54" s="393" t="e">
        <f t="shared" si="36"/>
        <v>#DIV/0!</v>
      </c>
      <c r="AL54" s="393">
        <f t="shared" si="37"/>
        <v>-100</v>
      </c>
      <c r="AM54" s="393" t="e">
        <f t="shared" si="38"/>
        <v>#DIV/0!</v>
      </c>
      <c r="AN54" s="393">
        <f t="shared" si="39"/>
        <v>6.492</v>
      </c>
      <c r="AO54" s="393">
        <f t="shared" si="40"/>
        <v>-100</v>
      </c>
      <c r="AP54" s="393" t="e">
        <f t="shared" si="41"/>
        <v>#DIV/0!</v>
      </c>
      <c r="AQ54" s="393">
        <f t="shared" si="42"/>
        <v>-100</v>
      </c>
      <c r="AR54" s="393" t="e">
        <f t="shared" si="43"/>
        <v>#DIV/0!</v>
      </c>
      <c r="AS54" s="393">
        <f t="shared" si="44"/>
        <v>-100</v>
      </c>
      <c r="AT54" s="393" t="e">
        <f t="shared" si="45"/>
        <v>#DIV/0!</v>
      </c>
    </row>
    <row r="55" spans="1:46" ht="15.75" customHeight="1" x14ac:dyDescent="0.25">
      <c r="A55" s="361" t="s">
        <v>3735</v>
      </c>
      <c r="B55" s="388"/>
      <c r="C55" s="388"/>
      <c r="D55" s="388"/>
      <c r="E55" s="377"/>
      <c r="F55" s="377"/>
      <c r="G55" s="377"/>
      <c r="H55" s="377"/>
      <c r="I55" s="377"/>
      <c r="J55" s="409"/>
      <c r="K55" s="377"/>
      <c r="L55" s="377"/>
      <c r="M55" s="377">
        <v>843</v>
      </c>
      <c r="N55" s="377"/>
      <c r="O55" s="377"/>
      <c r="P55" s="373"/>
      <c r="Q55" s="373"/>
      <c r="R55" s="373">
        <v>804</v>
      </c>
      <c r="S55" s="373"/>
      <c r="T55" s="373"/>
      <c r="U55" s="373"/>
      <c r="V55" s="589"/>
      <c r="W55" s="589"/>
      <c r="X55" s="589"/>
      <c r="Y55" s="364">
        <f t="shared" si="24"/>
        <v>0</v>
      </c>
      <c r="Z55" s="364">
        <f t="shared" si="25"/>
        <v>0</v>
      </c>
      <c r="AA55" s="364">
        <f t="shared" si="26"/>
        <v>0</v>
      </c>
      <c r="AB55" s="364">
        <f t="shared" si="27"/>
        <v>0</v>
      </c>
      <c r="AC55" s="364">
        <f t="shared" si="28"/>
        <v>0</v>
      </c>
      <c r="AD55" s="364">
        <f t="shared" si="29"/>
        <v>0</v>
      </c>
      <c r="AE55" s="364">
        <f t="shared" si="30"/>
        <v>0</v>
      </c>
      <c r="AF55" s="364">
        <f t="shared" si="31"/>
        <v>0</v>
      </c>
      <c r="AG55" s="364">
        <f t="shared" si="32"/>
        <v>0</v>
      </c>
      <c r="AH55" s="364">
        <f t="shared" si="33"/>
        <v>46.832999999999998</v>
      </c>
      <c r="AI55" s="393" t="e">
        <f t="shared" si="34"/>
        <v>#DIV/0!</v>
      </c>
      <c r="AJ55" s="393">
        <f t="shared" si="35"/>
        <v>-100</v>
      </c>
      <c r="AK55" s="393" t="e">
        <f t="shared" si="36"/>
        <v>#DIV/0!</v>
      </c>
      <c r="AL55" s="393" t="e">
        <f t="shared" si="37"/>
        <v>#DIV/0!</v>
      </c>
      <c r="AM55" s="393" t="e">
        <f t="shared" si="38"/>
        <v>#DIV/0!</v>
      </c>
      <c r="AN55" s="393" t="e">
        <f t="shared" si="39"/>
        <v>#DIV/0!</v>
      </c>
      <c r="AO55" s="393">
        <f t="shared" si="40"/>
        <v>-100</v>
      </c>
      <c r="AP55" s="393" t="e">
        <f t="shared" si="41"/>
        <v>#DIV/0!</v>
      </c>
      <c r="AQ55" s="393" t="e">
        <f t="shared" si="42"/>
        <v>#DIV/0!</v>
      </c>
      <c r="AR55" s="393" t="e">
        <f t="shared" si="43"/>
        <v>#DIV/0!</v>
      </c>
      <c r="AS55" s="393" t="e">
        <f t="shared" si="44"/>
        <v>#DIV/0!</v>
      </c>
      <c r="AT55" s="393" t="e">
        <f t="shared" si="45"/>
        <v>#DIV/0!</v>
      </c>
    </row>
    <row r="56" spans="1:46" ht="15.75" customHeight="1" x14ac:dyDescent="0.25">
      <c r="A56" s="355" t="s">
        <v>2126</v>
      </c>
      <c r="B56" s="388"/>
      <c r="C56" s="388"/>
      <c r="D56" s="388"/>
      <c r="E56" s="377"/>
      <c r="F56" s="377"/>
      <c r="G56" s="377"/>
      <c r="H56" s="377"/>
      <c r="I56" s="377"/>
      <c r="J56" s="409"/>
      <c r="K56" s="377"/>
      <c r="L56" s="377"/>
      <c r="M56" s="377"/>
      <c r="N56" s="377"/>
      <c r="O56" s="377">
        <v>845</v>
      </c>
      <c r="P56" s="373"/>
      <c r="Q56" s="373">
        <v>935</v>
      </c>
      <c r="R56" s="373"/>
      <c r="S56" s="373">
        <v>977</v>
      </c>
      <c r="T56" s="373"/>
      <c r="U56" s="373">
        <v>899</v>
      </c>
      <c r="V56" s="589"/>
      <c r="W56" s="589"/>
      <c r="X56" s="589"/>
      <c r="Y56" s="364">
        <f t="shared" si="24"/>
        <v>0</v>
      </c>
      <c r="Z56" s="364">
        <f t="shared" si="25"/>
        <v>0</v>
      </c>
      <c r="AA56" s="364">
        <f t="shared" si="26"/>
        <v>0</v>
      </c>
      <c r="AB56" s="364">
        <f t="shared" si="27"/>
        <v>0</v>
      </c>
      <c r="AC56" s="364">
        <f t="shared" si="28"/>
        <v>0</v>
      </c>
      <c r="AD56" s="364">
        <f t="shared" si="29"/>
        <v>0</v>
      </c>
      <c r="AE56" s="364">
        <f t="shared" si="30"/>
        <v>0</v>
      </c>
      <c r="AF56" s="364">
        <f t="shared" si="31"/>
        <v>0</v>
      </c>
      <c r="AG56" s="364">
        <f t="shared" si="32"/>
        <v>0</v>
      </c>
      <c r="AH56" s="364">
        <f t="shared" si="33"/>
        <v>0</v>
      </c>
      <c r="AI56" s="393" t="e">
        <f t="shared" si="34"/>
        <v>#DIV/0!</v>
      </c>
      <c r="AJ56" s="393" t="e">
        <f t="shared" si="35"/>
        <v>#DIV/0!</v>
      </c>
      <c r="AK56" s="393" t="e">
        <f t="shared" si="36"/>
        <v>#DIV/0!</v>
      </c>
      <c r="AL56" s="393">
        <f t="shared" si="37"/>
        <v>-100</v>
      </c>
      <c r="AM56" s="393" t="e">
        <f t="shared" si="38"/>
        <v>#DIV/0!</v>
      </c>
      <c r="AN56" s="393">
        <f t="shared" si="39"/>
        <v>-100</v>
      </c>
      <c r="AO56" s="393" t="e">
        <f t="shared" si="40"/>
        <v>#DIV/0!</v>
      </c>
      <c r="AP56" s="393">
        <f t="shared" si="41"/>
        <v>-100</v>
      </c>
      <c r="AQ56" s="393" t="e">
        <f t="shared" si="42"/>
        <v>#DIV/0!</v>
      </c>
      <c r="AR56" s="393">
        <f t="shared" si="43"/>
        <v>-100</v>
      </c>
      <c r="AS56" s="393" t="e">
        <f t="shared" si="44"/>
        <v>#DIV/0!</v>
      </c>
      <c r="AT56" s="393" t="e">
        <f t="shared" si="45"/>
        <v>#DIV/0!</v>
      </c>
    </row>
    <row r="57" spans="1:46" ht="15.75" customHeight="1" x14ac:dyDescent="0.25">
      <c r="A57" s="361" t="s">
        <v>4491</v>
      </c>
      <c r="B57" s="389"/>
      <c r="C57" s="389"/>
      <c r="D57" s="389"/>
      <c r="E57" s="377"/>
      <c r="F57" s="377"/>
      <c r="G57" s="377"/>
      <c r="H57" s="377"/>
      <c r="I57" s="377"/>
      <c r="J57" s="409"/>
      <c r="K57" s="377"/>
      <c r="L57" s="377"/>
      <c r="M57" s="377"/>
      <c r="N57" s="377"/>
      <c r="O57" s="377"/>
      <c r="P57" s="373"/>
      <c r="Q57" s="373"/>
      <c r="R57" s="373"/>
      <c r="S57" s="373"/>
      <c r="T57" s="373"/>
      <c r="U57" s="373"/>
      <c r="V57" s="589">
        <f>1316/4*3</f>
        <v>987</v>
      </c>
      <c r="W57" s="589"/>
      <c r="X57" s="589">
        <v>1036</v>
      </c>
      <c r="Y57" s="364">
        <f t="shared" si="24"/>
        <v>0</v>
      </c>
      <c r="Z57" s="364">
        <f t="shared" si="25"/>
        <v>0</v>
      </c>
      <c r="AA57" s="364">
        <f t="shared" si="26"/>
        <v>0</v>
      </c>
      <c r="AB57" s="364">
        <f t="shared" si="27"/>
        <v>0</v>
      </c>
      <c r="AC57" s="364">
        <f t="shared" si="28"/>
        <v>0</v>
      </c>
      <c r="AD57" s="364">
        <f t="shared" si="29"/>
        <v>0</v>
      </c>
      <c r="AE57" s="364">
        <f t="shared" si="30"/>
        <v>0</v>
      </c>
      <c r="AF57" s="364">
        <f t="shared" si="31"/>
        <v>0</v>
      </c>
      <c r="AG57" s="364">
        <f t="shared" si="32"/>
        <v>0</v>
      </c>
      <c r="AH57" s="364">
        <f t="shared" si="33"/>
        <v>0</v>
      </c>
      <c r="AI57" s="393" t="e">
        <f t="shared" si="34"/>
        <v>#DIV/0!</v>
      </c>
      <c r="AJ57" s="393" t="e">
        <f t="shared" si="35"/>
        <v>#DIV/0!</v>
      </c>
      <c r="AK57" s="393" t="e">
        <f t="shared" si="36"/>
        <v>#DIV/0!</v>
      </c>
      <c r="AL57" s="393" t="e">
        <f t="shared" si="37"/>
        <v>#DIV/0!</v>
      </c>
      <c r="AM57" s="393" t="e">
        <f t="shared" si="38"/>
        <v>#DIV/0!</v>
      </c>
      <c r="AN57" s="393" t="e">
        <f t="shared" si="39"/>
        <v>#DIV/0!</v>
      </c>
      <c r="AO57" s="393" t="e">
        <f t="shared" si="40"/>
        <v>#DIV/0!</v>
      </c>
      <c r="AP57" s="393" t="e">
        <f t="shared" si="41"/>
        <v>#DIV/0!</v>
      </c>
      <c r="AQ57" s="393" t="e">
        <f t="shared" si="42"/>
        <v>#DIV/0!</v>
      </c>
      <c r="AR57" s="393" t="e">
        <f t="shared" si="43"/>
        <v>#DIV/0!</v>
      </c>
      <c r="AS57" s="393">
        <f t="shared" si="44"/>
        <v>-100</v>
      </c>
      <c r="AT57" s="393" t="e">
        <f t="shared" si="45"/>
        <v>#DIV/0!</v>
      </c>
    </row>
    <row r="58" spans="1:46" ht="15.75" customHeight="1" x14ac:dyDescent="0.25">
      <c r="A58" s="361" t="s">
        <v>2133</v>
      </c>
      <c r="B58" s="389"/>
      <c r="C58" s="389"/>
      <c r="D58" s="389"/>
      <c r="E58" s="377"/>
      <c r="F58" s="377"/>
      <c r="G58" s="377"/>
      <c r="H58" s="377"/>
      <c r="I58" s="377"/>
      <c r="J58" s="409"/>
      <c r="K58" s="377"/>
      <c r="L58" s="377"/>
      <c r="M58" s="377"/>
      <c r="N58" s="377"/>
      <c r="O58" s="377">
        <v>949</v>
      </c>
      <c r="P58" s="377">
        <v>947</v>
      </c>
      <c r="Q58" s="377"/>
      <c r="R58" s="377"/>
      <c r="S58" s="377"/>
      <c r="T58" s="377"/>
      <c r="U58" s="377"/>
      <c r="V58" s="588"/>
      <c r="W58" s="588"/>
      <c r="X58" s="588"/>
      <c r="Y58" s="364">
        <f t="shared" si="24"/>
        <v>0</v>
      </c>
      <c r="Z58" s="364">
        <f t="shared" si="25"/>
        <v>0</v>
      </c>
      <c r="AA58" s="364">
        <f t="shared" si="26"/>
        <v>0</v>
      </c>
      <c r="AB58" s="364">
        <f t="shared" si="27"/>
        <v>0</v>
      </c>
      <c r="AC58" s="364">
        <f t="shared" si="28"/>
        <v>0</v>
      </c>
      <c r="AD58" s="364">
        <f t="shared" si="29"/>
        <v>0</v>
      </c>
      <c r="AE58" s="364">
        <f t="shared" si="30"/>
        <v>0</v>
      </c>
      <c r="AF58" s="364">
        <f t="shared" si="31"/>
        <v>0</v>
      </c>
      <c r="AG58" s="364">
        <f t="shared" si="32"/>
        <v>0</v>
      </c>
      <c r="AH58" s="364">
        <f t="shared" si="33"/>
        <v>0</v>
      </c>
      <c r="AI58" s="393" t="e">
        <f t="shared" si="34"/>
        <v>#DIV/0!</v>
      </c>
      <c r="AJ58" s="393" t="e">
        <f t="shared" si="35"/>
        <v>#DIV/0!</v>
      </c>
      <c r="AK58" s="393" t="e">
        <f t="shared" si="36"/>
        <v>#DIV/0!</v>
      </c>
      <c r="AL58" s="393">
        <f t="shared" si="37"/>
        <v>-0.21099999999999999</v>
      </c>
      <c r="AM58" s="393">
        <f t="shared" si="38"/>
        <v>-100</v>
      </c>
      <c r="AN58" s="393" t="e">
        <f t="shared" si="39"/>
        <v>#DIV/0!</v>
      </c>
      <c r="AO58" s="393" t="e">
        <f t="shared" si="40"/>
        <v>#DIV/0!</v>
      </c>
      <c r="AP58" s="393" t="e">
        <f t="shared" si="41"/>
        <v>#DIV/0!</v>
      </c>
      <c r="AQ58" s="393" t="e">
        <f t="shared" si="42"/>
        <v>#DIV/0!</v>
      </c>
      <c r="AR58" s="393" t="e">
        <f t="shared" si="43"/>
        <v>#DIV/0!</v>
      </c>
      <c r="AS58" s="393" t="e">
        <f t="shared" si="44"/>
        <v>#DIV/0!</v>
      </c>
      <c r="AT58" s="393" t="e">
        <f t="shared" si="45"/>
        <v>#DIV/0!</v>
      </c>
    </row>
    <row r="59" spans="1:46" ht="15.75" customHeight="1" x14ac:dyDescent="0.25">
      <c r="A59" s="361" t="s">
        <v>2563</v>
      </c>
      <c r="B59" s="388">
        <f>336.5*3</f>
        <v>1010</v>
      </c>
      <c r="C59" s="388">
        <f>321*3</f>
        <v>963</v>
      </c>
      <c r="D59" s="388">
        <f>345.5*3</f>
        <v>1037</v>
      </c>
      <c r="E59" s="377">
        <v>982</v>
      </c>
      <c r="F59" s="377">
        <v>823</v>
      </c>
      <c r="G59" s="377">
        <v>807</v>
      </c>
      <c r="H59" s="377"/>
      <c r="I59" s="377"/>
      <c r="J59" s="409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588"/>
      <c r="W59" s="588"/>
      <c r="X59" s="588"/>
      <c r="Y59" s="364">
        <f t="shared" si="24"/>
        <v>-5.9489999999999998</v>
      </c>
      <c r="Z59" s="364">
        <f t="shared" si="25"/>
        <v>8.8409999999999993</v>
      </c>
      <c r="AA59" s="364">
        <f t="shared" si="26"/>
        <v>-7.2080000000000002</v>
      </c>
      <c r="AB59" s="364">
        <f t="shared" si="27"/>
        <v>-19.437999999999999</v>
      </c>
      <c r="AC59" s="364">
        <f t="shared" si="28"/>
        <v>-1.6379999999999999</v>
      </c>
      <c r="AD59" s="364">
        <f t="shared" si="29"/>
        <v>-81.269000000000005</v>
      </c>
      <c r="AE59" s="364">
        <f t="shared" si="30"/>
        <v>0</v>
      </c>
      <c r="AF59" s="364">
        <f t="shared" si="31"/>
        <v>0</v>
      </c>
      <c r="AG59" s="364">
        <f t="shared" si="32"/>
        <v>0</v>
      </c>
      <c r="AH59" s="364">
        <f t="shared" si="33"/>
        <v>0</v>
      </c>
      <c r="AI59" s="393" t="e">
        <f t="shared" si="34"/>
        <v>#DIV/0!</v>
      </c>
      <c r="AJ59" s="393" t="e">
        <f t="shared" si="35"/>
        <v>#DIV/0!</v>
      </c>
      <c r="AK59" s="393" t="e">
        <f t="shared" si="36"/>
        <v>#DIV/0!</v>
      </c>
      <c r="AL59" s="393" t="e">
        <f t="shared" si="37"/>
        <v>#DIV/0!</v>
      </c>
      <c r="AM59" s="393" t="e">
        <f t="shared" si="38"/>
        <v>#DIV/0!</v>
      </c>
      <c r="AN59" s="393" t="e">
        <f t="shared" si="39"/>
        <v>#DIV/0!</v>
      </c>
      <c r="AO59" s="393" t="e">
        <f t="shared" si="40"/>
        <v>#DIV/0!</v>
      </c>
      <c r="AP59" s="393" t="e">
        <f t="shared" si="41"/>
        <v>#DIV/0!</v>
      </c>
      <c r="AQ59" s="393" t="e">
        <f t="shared" si="42"/>
        <v>#DIV/0!</v>
      </c>
      <c r="AR59" s="393" t="e">
        <f t="shared" si="43"/>
        <v>#DIV/0!</v>
      </c>
      <c r="AS59" s="393" t="e">
        <f t="shared" si="44"/>
        <v>#DIV/0!</v>
      </c>
      <c r="AT59" s="393" t="e">
        <f t="shared" si="45"/>
        <v>#DIV/0!</v>
      </c>
    </row>
    <row r="60" spans="1:46" ht="15.75" customHeight="1" x14ac:dyDescent="0.25">
      <c r="A60" s="361" t="s">
        <v>1914</v>
      </c>
      <c r="B60" s="388"/>
      <c r="C60" s="388"/>
      <c r="D60" s="388"/>
      <c r="E60" s="377">
        <v>948</v>
      </c>
      <c r="F60" s="377">
        <v>607</v>
      </c>
      <c r="G60" s="377"/>
      <c r="H60" s="377"/>
      <c r="I60" s="377"/>
      <c r="J60" s="409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588"/>
      <c r="W60" s="588"/>
      <c r="X60" s="588"/>
      <c r="Y60" s="364">
        <f t="shared" si="24"/>
        <v>0</v>
      </c>
      <c r="Z60" s="364">
        <f t="shared" si="25"/>
        <v>0</v>
      </c>
      <c r="AA60" s="364">
        <f t="shared" si="26"/>
        <v>52.667000000000002</v>
      </c>
      <c r="AB60" s="364">
        <f t="shared" si="27"/>
        <v>-40.023000000000003</v>
      </c>
      <c r="AC60" s="364">
        <f t="shared" si="28"/>
        <v>-50.88</v>
      </c>
      <c r="AD60" s="364">
        <f t="shared" si="29"/>
        <v>0</v>
      </c>
      <c r="AE60" s="364">
        <f t="shared" si="30"/>
        <v>0</v>
      </c>
      <c r="AF60" s="364">
        <f t="shared" si="31"/>
        <v>0</v>
      </c>
      <c r="AG60" s="364">
        <f t="shared" si="32"/>
        <v>0</v>
      </c>
      <c r="AH60" s="364">
        <f t="shared" si="33"/>
        <v>0</v>
      </c>
      <c r="AI60" s="393" t="e">
        <f t="shared" si="34"/>
        <v>#DIV/0!</v>
      </c>
      <c r="AJ60" s="393" t="e">
        <f t="shared" si="35"/>
        <v>#DIV/0!</v>
      </c>
      <c r="AK60" s="393" t="e">
        <f t="shared" si="36"/>
        <v>#DIV/0!</v>
      </c>
      <c r="AL60" s="393" t="e">
        <f t="shared" si="37"/>
        <v>#DIV/0!</v>
      </c>
      <c r="AM60" s="393" t="e">
        <f t="shared" si="38"/>
        <v>#DIV/0!</v>
      </c>
      <c r="AN60" s="393" t="e">
        <f t="shared" si="39"/>
        <v>#DIV/0!</v>
      </c>
      <c r="AO60" s="393" t="e">
        <f t="shared" si="40"/>
        <v>#DIV/0!</v>
      </c>
      <c r="AP60" s="393" t="e">
        <f t="shared" si="41"/>
        <v>#DIV/0!</v>
      </c>
      <c r="AQ60" s="393" t="e">
        <f t="shared" si="42"/>
        <v>#DIV/0!</v>
      </c>
      <c r="AR60" s="393" t="e">
        <f t="shared" si="43"/>
        <v>#DIV/0!</v>
      </c>
      <c r="AS60" s="393" t="e">
        <f t="shared" si="44"/>
        <v>#DIV/0!</v>
      </c>
      <c r="AT60" s="393" t="e">
        <f t="shared" si="45"/>
        <v>#DIV/0!</v>
      </c>
    </row>
    <row r="61" spans="1:46" ht="15.75" customHeight="1" x14ac:dyDescent="0.25">
      <c r="A61" s="361" t="s">
        <v>2567</v>
      </c>
      <c r="B61" s="388">
        <f>344*3</f>
        <v>1032</v>
      </c>
      <c r="C61" s="388"/>
      <c r="D61" s="388"/>
      <c r="E61" s="377">
        <v>985</v>
      </c>
      <c r="F61" s="377"/>
      <c r="G61" s="377"/>
      <c r="H61" s="377"/>
      <c r="I61" s="377"/>
      <c r="J61" s="409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588"/>
      <c r="W61" s="588"/>
      <c r="X61" s="588"/>
      <c r="Y61" s="364">
        <f t="shared" si="24"/>
        <v>-134.375</v>
      </c>
      <c r="Z61" s="364">
        <f t="shared" si="25"/>
        <v>0</v>
      </c>
      <c r="AA61" s="364">
        <f t="shared" si="26"/>
        <v>54.722000000000001</v>
      </c>
      <c r="AB61" s="364">
        <f t="shared" si="27"/>
        <v>-120.85899999999999</v>
      </c>
      <c r="AC61" s="364">
        <f t="shared" si="28"/>
        <v>0</v>
      </c>
      <c r="AD61" s="364">
        <f t="shared" si="29"/>
        <v>0</v>
      </c>
      <c r="AE61" s="364">
        <f t="shared" si="30"/>
        <v>0</v>
      </c>
      <c r="AF61" s="364">
        <f t="shared" si="31"/>
        <v>0</v>
      </c>
      <c r="AG61" s="364">
        <f t="shared" si="32"/>
        <v>0</v>
      </c>
      <c r="AH61" s="364">
        <f t="shared" si="33"/>
        <v>0</v>
      </c>
      <c r="AI61" s="393" t="e">
        <f t="shared" si="34"/>
        <v>#DIV/0!</v>
      </c>
      <c r="AJ61" s="393" t="e">
        <f t="shared" si="35"/>
        <v>#DIV/0!</v>
      </c>
      <c r="AK61" s="393" t="e">
        <f t="shared" si="36"/>
        <v>#DIV/0!</v>
      </c>
      <c r="AL61" s="393" t="e">
        <f t="shared" si="37"/>
        <v>#DIV/0!</v>
      </c>
      <c r="AM61" s="393" t="e">
        <f t="shared" si="38"/>
        <v>#DIV/0!</v>
      </c>
      <c r="AN61" s="393" t="e">
        <f t="shared" si="39"/>
        <v>#DIV/0!</v>
      </c>
      <c r="AO61" s="393" t="e">
        <f t="shared" si="40"/>
        <v>#DIV/0!</v>
      </c>
      <c r="AP61" s="393" t="e">
        <f t="shared" si="41"/>
        <v>#DIV/0!</v>
      </c>
      <c r="AQ61" s="393" t="e">
        <f t="shared" si="42"/>
        <v>#DIV/0!</v>
      </c>
      <c r="AR61" s="393" t="e">
        <f t="shared" si="43"/>
        <v>#DIV/0!</v>
      </c>
      <c r="AS61" s="393" t="e">
        <f t="shared" si="44"/>
        <v>#DIV/0!</v>
      </c>
      <c r="AT61" s="393" t="e">
        <f t="shared" si="45"/>
        <v>#DIV/0!</v>
      </c>
    </row>
    <row r="62" spans="1:46" ht="15.75" customHeight="1" x14ac:dyDescent="0.25">
      <c r="A62" s="355" t="s">
        <v>2124</v>
      </c>
      <c r="B62" s="388">
        <f>406*3</f>
        <v>1218</v>
      </c>
      <c r="C62" s="388">
        <f>393*3</f>
        <v>1179</v>
      </c>
      <c r="D62" s="388">
        <f>386.5*3</f>
        <v>1160</v>
      </c>
      <c r="E62" s="377">
        <v>1197</v>
      </c>
      <c r="F62" s="377">
        <v>1141</v>
      </c>
      <c r="G62" s="377">
        <v>942</v>
      </c>
      <c r="H62" s="377"/>
      <c r="I62" s="377">
        <v>1101</v>
      </c>
      <c r="J62" s="409">
        <f>1400/4*3</f>
        <v>1050</v>
      </c>
      <c r="K62" s="377">
        <v>1002</v>
      </c>
      <c r="L62" s="377">
        <v>1154</v>
      </c>
      <c r="M62" s="377">
        <v>1145</v>
      </c>
      <c r="N62" s="377">
        <v>1057</v>
      </c>
      <c r="O62" s="377">
        <v>887</v>
      </c>
      <c r="P62" s="373"/>
      <c r="Q62" s="373">
        <v>940</v>
      </c>
      <c r="R62" s="373">
        <v>999</v>
      </c>
      <c r="S62" s="373">
        <v>1107</v>
      </c>
      <c r="T62" s="373">
        <v>1081</v>
      </c>
      <c r="U62" s="373">
        <v>1037</v>
      </c>
      <c r="V62" s="589">
        <f>1379/4*3</f>
        <v>1034</v>
      </c>
      <c r="W62" s="589"/>
      <c r="X62" s="589">
        <v>1062</v>
      </c>
      <c r="Y62" s="364">
        <f t="shared" si="24"/>
        <v>-6.7009999999999996</v>
      </c>
      <c r="Z62" s="364">
        <f t="shared" si="25"/>
        <v>-3.06</v>
      </c>
      <c r="AA62" s="364">
        <f t="shared" si="26"/>
        <v>5.7809999999999997</v>
      </c>
      <c r="AB62" s="364">
        <f t="shared" si="27"/>
        <v>-9.2870000000000008</v>
      </c>
      <c r="AC62" s="364">
        <f t="shared" si="28"/>
        <v>-30.196999999999999</v>
      </c>
      <c r="AD62" s="364">
        <f t="shared" si="29"/>
        <v>-109.79</v>
      </c>
      <c r="AE62" s="364">
        <f t="shared" si="30"/>
        <v>-7.2960000000000003</v>
      </c>
      <c r="AF62" s="364">
        <f t="shared" si="31"/>
        <v>-6.4</v>
      </c>
      <c r="AG62" s="364">
        <f t="shared" si="32"/>
        <v>19.047999999999998</v>
      </c>
      <c r="AH62" s="364">
        <f t="shared" si="33"/>
        <v>-1.393</v>
      </c>
      <c r="AI62" s="393">
        <f t="shared" si="34"/>
        <v>-0.78</v>
      </c>
      <c r="AJ62" s="393">
        <f t="shared" si="35"/>
        <v>-7.6859999999999999</v>
      </c>
      <c r="AK62" s="393">
        <f t="shared" si="36"/>
        <v>-16.082999999999998</v>
      </c>
      <c r="AL62" s="393">
        <f t="shared" si="37"/>
        <v>-100</v>
      </c>
      <c r="AM62" s="393" t="e">
        <f t="shared" si="38"/>
        <v>#DIV/0!</v>
      </c>
      <c r="AN62" s="393">
        <f t="shared" si="39"/>
        <v>6.2770000000000001</v>
      </c>
      <c r="AO62" s="393">
        <f t="shared" si="40"/>
        <v>10.811</v>
      </c>
      <c r="AP62" s="393">
        <f t="shared" si="41"/>
        <v>-2.3490000000000002</v>
      </c>
      <c r="AQ62" s="393">
        <f t="shared" si="42"/>
        <v>-4.07</v>
      </c>
      <c r="AR62" s="393">
        <f t="shared" si="43"/>
        <v>-0.28899999999999998</v>
      </c>
      <c r="AS62" s="393">
        <f t="shared" si="44"/>
        <v>-100</v>
      </c>
      <c r="AT62" s="393" t="e">
        <f t="shared" si="45"/>
        <v>#DIV/0!</v>
      </c>
    </row>
    <row r="63" spans="1:46" ht="15.75" customHeight="1" x14ac:dyDescent="0.25">
      <c r="A63" s="361" t="s">
        <v>4128</v>
      </c>
      <c r="B63" s="388">
        <f>370.5*3</f>
        <v>1112</v>
      </c>
      <c r="C63" s="388"/>
      <c r="D63" s="388"/>
      <c r="E63" s="377"/>
      <c r="F63" s="377"/>
      <c r="G63" s="377"/>
      <c r="H63" s="377"/>
      <c r="I63" s="377"/>
      <c r="J63" s="409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588"/>
      <c r="W63" s="588"/>
      <c r="X63" s="588"/>
      <c r="Y63" s="364">
        <f t="shared" si="24"/>
        <v>-161.62799999999999</v>
      </c>
      <c r="Z63" s="364">
        <f t="shared" si="25"/>
        <v>0</v>
      </c>
      <c r="AA63" s="364">
        <f t="shared" si="26"/>
        <v>0</v>
      </c>
      <c r="AB63" s="364">
        <f t="shared" si="27"/>
        <v>0</v>
      </c>
      <c r="AC63" s="364">
        <f t="shared" si="28"/>
        <v>0</v>
      </c>
      <c r="AD63" s="364">
        <f t="shared" si="29"/>
        <v>0</v>
      </c>
      <c r="AE63" s="364">
        <f t="shared" si="30"/>
        <v>0</v>
      </c>
      <c r="AF63" s="364">
        <f t="shared" si="31"/>
        <v>0</v>
      </c>
      <c r="AG63" s="364">
        <f t="shared" si="32"/>
        <v>0</v>
      </c>
      <c r="AH63" s="364">
        <f t="shared" si="33"/>
        <v>0</v>
      </c>
      <c r="AI63" s="393" t="e">
        <f t="shared" si="34"/>
        <v>#DIV/0!</v>
      </c>
      <c r="AJ63" s="393" t="e">
        <f t="shared" si="35"/>
        <v>#DIV/0!</v>
      </c>
      <c r="AK63" s="393" t="e">
        <f t="shared" si="36"/>
        <v>#DIV/0!</v>
      </c>
      <c r="AL63" s="393" t="e">
        <f t="shared" si="37"/>
        <v>#DIV/0!</v>
      </c>
      <c r="AM63" s="393" t="e">
        <f t="shared" si="38"/>
        <v>#DIV/0!</v>
      </c>
      <c r="AN63" s="393" t="e">
        <f t="shared" si="39"/>
        <v>#DIV/0!</v>
      </c>
      <c r="AO63" s="393" t="e">
        <f t="shared" si="40"/>
        <v>#DIV/0!</v>
      </c>
      <c r="AP63" s="393" t="e">
        <f t="shared" si="41"/>
        <v>#DIV/0!</v>
      </c>
      <c r="AQ63" s="393" t="e">
        <f t="shared" si="42"/>
        <v>#DIV/0!</v>
      </c>
      <c r="AR63" s="393" t="e">
        <f t="shared" si="43"/>
        <v>#DIV/0!</v>
      </c>
      <c r="AS63" s="393" t="e">
        <f t="shared" si="44"/>
        <v>#DIV/0!</v>
      </c>
      <c r="AT63" s="393" t="e">
        <f t="shared" si="45"/>
        <v>#DIV/0!</v>
      </c>
    </row>
    <row r="64" spans="1:46" ht="15.75" customHeight="1" x14ac:dyDescent="0.25">
      <c r="A64" s="361" t="s">
        <v>1023</v>
      </c>
      <c r="B64" s="388"/>
      <c r="C64" s="388"/>
      <c r="D64" s="388"/>
      <c r="E64" s="377"/>
      <c r="F64" s="377"/>
      <c r="G64" s="377"/>
      <c r="H64" s="377"/>
      <c r="I64" s="377"/>
      <c r="J64" s="409"/>
      <c r="K64" s="377"/>
      <c r="L64" s="377"/>
      <c r="M64" s="377"/>
      <c r="N64" s="377"/>
      <c r="O64" s="377"/>
      <c r="P64" s="377"/>
      <c r="Q64" s="377"/>
      <c r="R64" s="377"/>
      <c r="S64" s="377">
        <v>1144</v>
      </c>
      <c r="T64" s="377"/>
      <c r="U64" s="377"/>
      <c r="V64" s="588"/>
      <c r="W64" s="588"/>
      <c r="X64" s="588">
        <v>1095</v>
      </c>
      <c r="Y64" s="364">
        <f t="shared" si="24"/>
        <v>0</v>
      </c>
      <c r="Z64" s="364">
        <f t="shared" si="25"/>
        <v>0</v>
      </c>
      <c r="AA64" s="364">
        <f t="shared" si="26"/>
        <v>0</v>
      </c>
      <c r="AB64" s="364">
        <f t="shared" si="27"/>
        <v>0</v>
      </c>
      <c r="AC64" s="364">
        <f t="shared" si="28"/>
        <v>0</v>
      </c>
      <c r="AD64" s="364">
        <f t="shared" si="29"/>
        <v>0</v>
      </c>
      <c r="AE64" s="364">
        <f t="shared" si="30"/>
        <v>0</v>
      </c>
      <c r="AF64" s="364">
        <f t="shared" si="31"/>
        <v>0</v>
      </c>
      <c r="AG64" s="364">
        <f t="shared" si="32"/>
        <v>0</v>
      </c>
      <c r="AH64" s="364">
        <f t="shared" si="33"/>
        <v>0</v>
      </c>
      <c r="AI64" s="393" t="e">
        <f t="shared" si="34"/>
        <v>#DIV/0!</v>
      </c>
      <c r="AJ64" s="393" t="e">
        <f t="shared" si="35"/>
        <v>#DIV/0!</v>
      </c>
      <c r="AK64" s="393" t="e">
        <f t="shared" si="36"/>
        <v>#DIV/0!</v>
      </c>
      <c r="AL64" s="393" t="e">
        <f t="shared" si="37"/>
        <v>#DIV/0!</v>
      </c>
      <c r="AM64" s="393" t="e">
        <f t="shared" si="38"/>
        <v>#DIV/0!</v>
      </c>
      <c r="AN64" s="393" t="e">
        <f t="shared" si="39"/>
        <v>#DIV/0!</v>
      </c>
      <c r="AO64" s="393" t="e">
        <f t="shared" si="40"/>
        <v>#DIV/0!</v>
      </c>
      <c r="AP64" s="393">
        <f t="shared" si="41"/>
        <v>-100</v>
      </c>
      <c r="AQ64" s="393" t="e">
        <f t="shared" si="42"/>
        <v>#DIV/0!</v>
      </c>
      <c r="AR64" s="393" t="e">
        <f t="shared" si="43"/>
        <v>#DIV/0!</v>
      </c>
      <c r="AS64" s="393" t="e">
        <f t="shared" si="44"/>
        <v>#DIV/0!</v>
      </c>
      <c r="AT64" s="393" t="e">
        <f t="shared" si="45"/>
        <v>#DIV/0!</v>
      </c>
    </row>
    <row r="65" spans="1:46" ht="15.75" customHeight="1" x14ac:dyDescent="0.25">
      <c r="A65" s="361" t="s">
        <v>4106</v>
      </c>
      <c r="B65" s="388">
        <f>351.5*3</f>
        <v>1055</v>
      </c>
      <c r="C65" s="388">
        <f>308.5*3</f>
        <v>926</v>
      </c>
      <c r="D65" s="388">
        <f>316.5*3</f>
        <v>950</v>
      </c>
      <c r="E65" s="377"/>
      <c r="F65" s="377"/>
      <c r="G65" s="377">
        <v>849</v>
      </c>
      <c r="H65" s="377"/>
      <c r="I65" s="377"/>
      <c r="J65" s="409"/>
      <c r="K65" s="377"/>
      <c r="L65" s="377"/>
      <c r="M65" s="377">
        <v>654</v>
      </c>
      <c r="N65" s="377"/>
      <c r="O65" s="377"/>
      <c r="P65" s="373"/>
      <c r="Q65" s="373"/>
      <c r="R65" s="373"/>
      <c r="S65" s="373"/>
      <c r="T65" s="373"/>
      <c r="U65" s="373"/>
      <c r="V65" s="589"/>
      <c r="W65" s="589"/>
      <c r="X65" s="589"/>
      <c r="Y65" s="364">
        <f t="shared" si="24"/>
        <v>-17.315000000000001</v>
      </c>
      <c r="Z65" s="364">
        <f t="shared" si="25"/>
        <v>2.746</v>
      </c>
      <c r="AA65" s="364">
        <f t="shared" si="26"/>
        <v>-111.765</v>
      </c>
      <c r="AB65" s="364">
        <f t="shared" si="27"/>
        <v>0</v>
      </c>
      <c r="AC65" s="364">
        <f t="shared" si="28"/>
        <v>47.167000000000002</v>
      </c>
      <c r="AD65" s="364">
        <f t="shared" si="29"/>
        <v>-89.274000000000001</v>
      </c>
      <c r="AE65" s="364">
        <f t="shared" si="30"/>
        <v>0</v>
      </c>
      <c r="AF65" s="364">
        <f t="shared" si="31"/>
        <v>0</v>
      </c>
      <c r="AG65" s="364">
        <f t="shared" si="32"/>
        <v>0</v>
      </c>
      <c r="AH65" s="364">
        <f t="shared" si="33"/>
        <v>36.332999999999998</v>
      </c>
      <c r="AI65" s="393" t="e">
        <f t="shared" si="34"/>
        <v>#DIV/0!</v>
      </c>
      <c r="AJ65" s="393">
        <f t="shared" si="35"/>
        <v>-100</v>
      </c>
      <c r="AK65" s="393" t="e">
        <f t="shared" si="36"/>
        <v>#DIV/0!</v>
      </c>
      <c r="AL65" s="393" t="e">
        <f t="shared" si="37"/>
        <v>#DIV/0!</v>
      </c>
      <c r="AM65" s="393" t="e">
        <f t="shared" si="38"/>
        <v>#DIV/0!</v>
      </c>
      <c r="AN65" s="393" t="e">
        <f t="shared" si="39"/>
        <v>#DIV/0!</v>
      </c>
      <c r="AO65" s="393" t="e">
        <f t="shared" si="40"/>
        <v>#DIV/0!</v>
      </c>
      <c r="AP65" s="393" t="e">
        <f t="shared" si="41"/>
        <v>#DIV/0!</v>
      </c>
      <c r="AQ65" s="393" t="e">
        <f t="shared" si="42"/>
        <v>#DIV/0!</v>
      </c>
      <c r="AR65" s="393" t="e">
        <f t="shared" si="43"/>
        <v>#DIV/0!</v>
      </c>
      <c r="AS65" s="393" t="e">
        <f t="shared" si="44"/>
        <v>#DIV/0!</v>
      </c>
      <c r="AT65" s="393" t="e">
        <f t="shared" si="45"/>
        <v>#DIV/0!</v>
      </c>
    </row>
    <row r="66" spans="1:46" ht="15.75" customHeight="1" x14ac:dyDescent="0.25">
      <c r="A66" s="361" t="s">
        <v>3734</v>
      </c>
      <c r="B66" s="388"/>
      <c r="C66" s="388"/>
      <c r="D66" s="388"/>
      <c r="E66" s="377"/>
      <c r="F66" s="377"/>
      <c r="G66" s="377"/>
      <c r="H66" s="377"/>
      <c r="I66" s="377"/>
      <c r="J66" s="409"/>
      <c r="K66" s="377"/>
      <c r="L66" s="377"/>
      <c r="M66" s="377">
        <v>865</v>
      </c>
      <c r="N66" s="377"/>
      <c r="O66" s="377"/>
      <c r="P66" s="373"/>
      <c r="Q66" s="373"/>
      <c r="R66" s="373"/>
      <c r="S66" s="373"/>
      <c r="T66" s="373"/>
      <c r="U66" s="373"/>
      <c r="V66" s="589"/>
      <c r="W66" s="589"/>
      <c r="X66" s="589"/>
      <c r="Y66" s="364">
        <f t="shared" si="24"/>
        <v>0</v>
      </c>
      <c r="Z66" s="364">
        <f t="shared" si="25"/>
        <v>0</v>
      </c>
      <c r="AA66" s="364">
        <f t="shared" si="26"/>
        <v>0</v>
      </c>
      <c r="AB66" s="364">
        <f t="shared" si="27"/>
        <v>0</v>
      </c>
      <c r="AC66" s="364">
        <f t="shared" si="28"/>
        <v>0</v>
      </c>
      <c r="AD66" s="364">
        <f t="shared" si="29"/>
        <v>0</v>
      </c>
      <c r="AE66" s="364">
        <f t="shared" si="30"/>
        <v>0</v>
      </c>
      <c r="AF66" s="364">
        <f t="shared" si="31"/>
        <v>0</v>
      </c>
      <c r="AG66" s="364">
        <f t="shared" si="32"/>
        <v>0</v>
      </c>
      <c r="AH66" s="364">
        <f t="shared" si="33"/>
        <v>48.055999999999997</v>
      </c>
      <c r="AI66" s="393" t="e">
        <f t="shared" si="34"/>
        <v>#DIV/0!</v>
      </c>
      <c r="AJ66" s="393">
        <f t="shared" si="35"/>
        <v>-100</v>
      </c>
      <c r="AK66" s="393" t="e">
        <f t="shared" si="36"/>
        <v>#DIV/0!</v>
      </c>
      <c r="AL66" s="393" t="e">
        <f t="shared" si="37"/>
        <v>#DIV/0!</v>
      </c>
      <c r="AM66" s="393" t="e">
        <f t="shared" si="38"/>
        <v>#DIV/0!</v>
      </c>
      <c r="AN66" s="393" t="e">
        <f t="shared" si="39"/>
        <v>#DIV/0!</v>
      </c>
      <c r="AO66" s="393" t="e">
        <f t="shared" si="40"/>
        <v>#DIV/0!</v>
      </c>
      <c r="AP66" s="393" t="e">
        <f t="shared" si="41"/>
        <v>#DIV/0!</v>
      </c>
      <c r="AQ66" s="393" t="e">
        <f t="shared" si="42"/>
        <v>#DIV/0!</v>
      </c>
      <c r="AR66" s="393" t="e">
        <f t="shared" si="43"/>
        <v>#DIV/0!</v>
      </c>
      <c r="AS66" s="393" t="e">
        <f t="shared" si="44"/>
        <v>#DIV/0!</v>
      </c>
      <c r="AT66" s="393" t="e">
        <f t="shared" si="45"/>
        <v>#DIV/0!</v>
      </c>
    </row>
    <row r="67" spans="1:46" ht="15.75" customHeight="1" x14ac:dyDescent="0.25">
      <c r="A67" s="361" t="s">
        <v>3748</v>
      </c>
      <c r="B67" s="389">
        <f>380.5*3</f>
        <v>1142</v>
      </c>
      <c r="C67" s="389">
        <f>343*3</f>
        <v>1029</v>
      </c>
      <c r="D67" s="389">
        <f>292.5*3</f>
        <v>878</v>
      </c>
      <c r="E67" s="377">
        <v>982</v>
      </c>
      <c r="F67" s="377">
        <v>929</v>
      </c>
      <c r="G67" s="377">
        <v>949</v>
      </c>
      <c r="H67" s="377"/>
      <c r="I67" s="377"/>
      <c r="J67" s="409"/>
      <c r="K67" s="377"/>
      <c r="L67" s="377">
        <v>830</v>
      </c>
      <c r="M67" s="377"/>
      <c r="N67" s="377"/>
      <c r="O67" s="377">
        <v>951</v>
      </c>
      <c r="P67" s="373"/>
      <c r="Q67" s="373">
        <v>984</v>
      </c>
      <c r="R67" s="373"/>
      <c r="S67" s="373"/>
      <c r="T67" s="373"/>
      <c r="U67" s="373"/>
      <c r="V67" s="589"/>
      <c r="W67" s="589"/>
      <c r="X67" s="589"/>
      <c r="Y67" s="364">
        <f t="shared" si="24"/>
        <v>-17.172999999999998</v>
      </c>
      <c r="Z67" s="364">
        <f t="shared" si="25"/>
        <v>-19.585000000000001</v>
      </c>
      <c r="AA67" s="364">
        <f t="shared" si="26"/>
        <v>11.28</v>
      </c>
      <c r="AB67" s="364">
        <f t="shared" si="27"/>
        <v>-6.4790000000000001</v>
      </c>
      <c r="AC67" s="364">
        <f t="shared" si="28"/>
        <v>2.2959999999999998</v>
      </c>
      <c r="AD67" s="364">
        <f t="shared" si="29"/>
        <v>-111.51600000000001</v>
      </c>
      <c r="AE67" s="364">
        <f t="shared" si="30"/>
        <v>0</v>
      </c>
      <c r="AF67" s="364">
        <f t="shared" si="31"/>
        <v>0</v>
      </c>
      <c r="AG67" s="364">
        <f t="shared" si="32"/>
        <v>46.110999999999997</v>
      </c>
      <c r="AH67" s="364">
        <f t="shared" si="33"/>
        <v>-85.566999999999993</v>
      </c>
      <c r="AI67" s="393">
        <f t="shared" si="34"/>
        <v>-100</v>
      </c>
      <c r="AJ67" s="393" t="e">
        <f t="shared" si="35"/>
        <v>#DIV/0!</v>
      </c>
      <c r="AK67" s="393" t="e">
        <f t="shared" si="36"/>
        <v>#DIV/0!</v>
      </c>
      <c r="AL67" s="393">
        <f t="shared" si="37"/>
        <v>-100</v>
      </c>
      <c r="AM67" s="393" t="e">
        <f t="shared" si="38"/>
        <v>#DIV/0!</v>
      </c>
      <c r="AN67" s="393">
        <f t="shared" si="39"/>
        <v>-100</v>
      </c>
      <c r="AO67" s="393" t="e">
        <f t="shared" si="40"/>
        <v>#DIV/0!</v>
      </c>
      <c r="AP67" s="393" t="e">
        <f t="shared" si="41"/>
        <v>#DIV/0!</v>
      </c>
      <c r="AQ67" s="393" t="e">
        <f t="shared" si="42"/>
        <v>#DIV/0!</v>
      </c>
      <c r="AR67" s="393" t="e">
        <f t="shared" si="43"/>
        <v>#DIV/0!</v>
      </c>
      <c r="AS67" s="393" t="e">
        <f t="shared" si="44"/>
        <v>#DIV/0!</v>
      </c>
      <c r="AT67" s="393" t="e">
        <f t="shared" si="45"/>
        <v>#DIV/0!</v>
      </c>
    </row>
    <row r="68" spans="1:46" ht="15.75" customHeight="1" x14ac:dyDescent="0.25">
      <c r="A68" s="361" t="s">
        <v>3741</v>
      </c>
      <c r="B68" s="388"/>
      <c r="C68" s="388"/>
      <c r="D68" s="388"/>
      <c r="E68" s="377"/>
      <c r="F68" s="377"/>
      <c r="G68" s="377"/>
      <c r="H68" s="377"/>
      <c r="I68" s="377"/>
      <c r="J68" s="409"/>
      <c r="K68" s="377"/>
      <c r="L68" s="377">
        <v>844</v>
      </c>
      <c r="M68" s="377"/>
      <c r="N68" s="377"/>
      <c r="O68" s="377"/>
      <c r="P68" s="373"/>
      <c r="Q68" s="373">
        <v>962</v>
      </c>
      <c r="R68" s="373">
        <v>972</v>
      </c>
      <c r="S68" s="373">
        <v>956</v>
      </c>
      <c r="T68" s="373"/>
      <c r="U68" s="373"/>
      <c r="V68" s="589">
        <f>1294/4*3</f>
        <v>971</v>
      </c>
      <c r="W68" s="589"/>
      <c r="X68" s="589">
        <v>882</v>
      </c>
      <c r="Y68" s="364">
        <f t="shared" si="24"/>
        <v>0</v>
      </c>
      <c r="Z68" s="364">
        <f t="shared" si="25"/>
        <v>0</v>
      </c>
      <c r="AA68" s="364">
        <f t="shared" si="26"/>
        <v>0</v>
      </c>
      <c r="AB68" s="364">
        <f t="shared" si="27"/>
        <v>0</v>
      </c>
      <c r="AC68" s="364">
        <f t="shared" si="28"/>
        <v>0</v>
      </c>
      <c r="AD68" s="364">
        <f t="shared" si="29"/>
        <v>0</v>
      </c>
      <c r="AE68" s="364">
        <f t="shared" si="30"/>
        <v>0</v>
      </c>
      <c r="AF68" s="364">
        <f t="shared" si="31"/>
        <v>0</v>
      </c>
      <c r="AG68" s="364">
        <f t="shared" si="32"/>
        <v>46.889000000000003</v>
      </c>
      <c r="AH68" s="364">
        <f t="shared" si="33"/>
        <v>-88.284999999999997</v>
      </c>
      <c r="AI68" s="393">
        <f t="shared" si="34"/>
        <v>-100</v>
      </c>
      <c r="AJ68" s="393" t="e">
        <f t="shared" si="35"/>
        <v>#DIV/0!</v>
      </c>
      <c r="AK68" s="393" t="e">
        <f t="shared" si="36"/>
        <v>#DIV/0!</v>
      </c>
      <c r="AL68" s="393" t="e">
        <f t="shared" si="37"/>
        <v>#DIV/0!</v>
      </c>
      <c r="AM68" s="393" t="e">
        <f t="shared" si="38"/>
        <v>#DIV/0!</v>
      </c>
      <c r="AN68" s="393">
        <f t="shared" si="39"/>
        <v>1.04</v>
      </c>
      <c r="AO68" s="393">
        <f t="shared" si="40"/>
        <v>-1.6459999999999999</v>
      </c>
      <c r="AP68" s="393">
        <f t="shared" si="41"/>
        <v>-100</v>
      </c>
      <c r="AQ68" s="393" t="e">
        <f t="shared" si="42"/>
        <v>#DIV/0!</v>
      </c>
      <c r="AR68" s="393" t="e">
        <f t="shared" si="43"/>
        <v>#DIV/0!</v>
      </c>
      <c r="AS68" s="393">
        <f t="shared" si="44"/>
        <v>-100</v>
      </c>
      <c r="AT68" s="393" t="e">
        <f t="shared" si="45"/>
        <v>#DIV/0!</v>
      </c>
    </row>
    <row r="69" spans="1:46" ht="15.75" customHeight="1" x14ac:dyDescent="0.25">
      <c r="A69" s="361" t="s">
        <v>782</v>
      </c>
      <c r="B69" s="388"/>
      <c r="C69" s="388">
        <f>292.25*3</f>
        <v>877</v>
      </c>
      <c r="D69" s="388"/>
      <c r="E69" s="377"/>
      <c r="F69" s="377"/>
      <c r="G69" s="377"/>
      <c r="H69" s="377"/>
      <c r="I69" s="377"/>
      <c r="J69" s="409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588"/>
      <c r="W69" s="588"/>
      <c r="X69" s="588"/>
      <c r="Y69" s="364">
        <f t="shared" ref="Y69:Y84" si="46">((+C69-B69)/(1800-B69))*100</f>
        <v>48.722000000000001</v>
      </c>
      <c r="Z69" s="364">
        <f t="shared" ref="Z69:Z84" si="47">((+D69-C69)/(1800-C69))*100</f>
        <v>-95.016000000000005</v>
      </c>
      <c r="AA69" s="364">
        <f t="shared" ref="AA69:AA84" si="48">((+E69-D69)/(1800-D69))*100</f>
        <v>0</v>
      </c>
      <c r="AB69" s="364">
        <f t="shared" ref="AB69:AB84" si="49">((+F69-E69)/(1800-E69))*100</f>
        <v>0</v>
      </c>
      <c r="AC69" s="364">
        <f t="shared" ref="AC69:AC84" si="50">((+G69-F69)/(1800-F69))*100</f>
        <v>0</v>
      </c>
      <c r="AD69" s="364">
        <f t="shared" ref="AD69:AD84" si="51">((+H69-G69)/(1800-G69))*100</f>
        <v>0</v>
      </c>
      <c r="AE69" s="364">
        <f t="shared" ref="AE69:AE84" si="52">((+J69-I69)/(1800-I69))*100</f>
        <v>0</v>
      </c>
      <c r="AF69" s="364">
        <f t="shared" ref="AF69:AF84" si="53">((+K69-J69)/(1800-J69))*100</f>
        <v>0</v>
      </c>
      <c r="AG69" s="364">
        <f t="shared" ref="AG69:AG84" si="54">((+L69-K69)/(1800-K69))*100</f>
        <v>0</v>
      </c>
      <c r="AH69" s="364">
        <f t="shared" ref="AH69:AH84" si="55">((+M69-L69)/(1800-L69))*100</f>
        <v>0</v>
      </c>
      <c r="AI69" s="393" t="e">
        <f t="shared" ref="AI69:AI84" si="56">(+M69-L69)/L69*100</f>
        <v>#DIV/0!</v>
      </c>
      <c r="AJ69" s="393" t="e">
        <f t="shared" ref="AJ69:AJ84" si="57">(+N69-M69)/M69*100</f>
        <v>#DIV/0!</v>
      </c>
      <c r="AK69" s="393" t="e">
        <f t="shared" ref="AK69:AK84" si="58">(+O69-N69)/N69*100</f>
        <v>#DIV/0!</v>
      </c>
      <c r="AL69" s="393" t="e">
        <f t="shared" ref="AL69:AL84" si="59">(+P69-O69)/O69*100</f>
        <v>#DIV/0!</v>
      </c>
      <c r="AM69" s="393" t="e">
        <f t="shared" ref="AM69:AM84" si="60">(+Q69-P69)/P69*100</f>
        <v>#DIV/0!</v>
      </c>
      <c r="AN69" s="393" t="e">
        <f t="shared" ref="AN69:AN84" si="61">(+R69-Q69)/Q69*100</f>
        <v>#DIV/0!</v>
      </c>
      <c r="AO69" s="393" t="e">
        <f t="shared" ref="AO69:AO84" si="62">(+S69-R69)/R69*100</f>
        <v>#DIV/0!</v>
      </c>
      <c r="AP69" s="393" t="e">
        <f t="shared" ref="AP69:AP84" si="63">(+T69-S69)/S69*100</f>
        <v>#DIV/0!</v>
      </c>
      <c r="AQ69" s="393" t="e">
        <f t="shared" ref="AQ69:AQ84" si="64">(+U69-T69)/T69*100</f>
        <v>#DIV/0!</v>
      </c>
      <c r="AR69" s="393" t="e">
        <f t="shared" ref="AR69:AR84" si="65">(+V69-U69)/U69*100</f>
        <v>#DIV/0!</v>
      </c>
      <c r="AS69" s="393" t="e">
        <f t="shared" ref="AS69:AS84" si="66">(+W69-V69)/V69*100</f>
        <v>#DIV/0!</v>
      </c>
      <c r="AT69" s="393" t="e">
        <f t="shared" ref="AT69:AT84" si="67">(+X69-W69)/W69*100</f>
        <v>#DIV/0!</v>
      </c>
    </row>
    <row r="70" spans="1:46" ht="15.75" customHeight="1" x14ac:dyDescent="0.25">
      <c r="A70" s="361" t="s">
        <v>4860</v>
      </c>
      <c r="B70" s="388"/>
      <c r="C70" s="388"/>
      <c r="D70" s="388"/>
      <c r="E70" s="377"/>
      <c r="F70" s="377"/>
      <c r="G70" s="377"/>
      <c r="H70" s="377"/>
      <c r="I70" s="377"/>
      <c r="J70" s="409"/>
      <c r="K70" s="377"/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588"/>
      <c r="W70" s="588"/>
      <c r="X70" s="588">
        <v>1057</v>
      </c>
      <c r="Y70" s="364">
        <f t="shared" si="46"/>
        <v>0</v>
      </c>
      <c r="Z70" s="364">
        <f t="shared" si="47"/>
        <v>0</v>
      </c>
      <c r="AA70" s="364">
        <f t="shared" si="48"/>
        <v>0</v>
      </c>
      <c r="AB70" s="364">
        <f t="shared" si="49"/>
        <v>0</v>
      </c>
      <c r="AC70" s="364">
        <f t="shared" si="50"/>
        <v>0</v>
      </c>
      <c r="AD70" s="364">
        <f t="shared" si="51"/>
        <v>0</v>
      </c>
      <c r="AE70" s="364">
        <f t="shared" si="52"/>
        <v>0</v>
      </c>
      <c r="AF70" s="364">
        <f t="shared" si="53"/>
        <v>0</v>
      </c>
      <c r="AG70" s="364">
        <f t="shared" si="54"/>
        <v>0</v>
      </c>
      <c r="AH70" s="364">
        <f t="shared" si="55"/>
        <v>0</v>
      </c>
      <c r="AI70" s="393" t="e">
        <f t="shared" si="56"/>
        <v>#DIV/0!</v>
      </c>
      <c r="AJ70" s="393" t="e">
        <f t="shared" si="57"/>
        <v>#DIV/0!</v>
      </c>
      <c r="AK70" s="393" t="e">
        <f t="shared" si="58"/>
        <v>#DIV/0!</v>
      </c>
      <c r="AL70" s="393" t="e">
        <f t="shared" si="59"/>
        <v>#DIV/0!</v>
      </c>
      <c r="AM70" s="393" t="e">
        <f t="shared" si="60"/>
        <v>#DIV/0!</v>
      </c>
      <c r="AN70" s="393" t="e">
        <f t="shared" si="61"/>
        <v>#DIV/0!</v>
      </c>
      <c r="AO70" s="393" t="e">
        <f t="shared" si="62"/>
        <v>#DIV/0!</v>
      </c>
      <c r="AP70" s="393" t="e">
        <f t="shared" si="63"/>
        <v>#DIV/0!</v>
      </c>
      <c r="AQ70" s="393" t="e">
        <f t="shared" si="64"/>
        <v>#DIV/0!</v>
      </c>
      <c r="AR70" s="393" t="e">
        <f t="shared" si="65"/>
        <v>#DIV/0!</v>
      </c>
      <c r="AS70" s="393" t="e">
        <f t="shared" si="66"/>
        <v>#DIV/0!</v>
      </c>
      <c r="AT70" s="393" t="e">
        <f t="shared" si="67"/>
        <v>#DIV/0!</v>
      </c>
    </row>
    <row r="71" spans="1:46" ht="15.75" customHeight="1" x14ac:dyDescent="0.25">
      <c r="A71" s="361" t="s">
        <v>2205</v>
      </c>
      <c r="B71" s="389"/>
      <c r="C71" s="389">
        <f>363.25*3</f>
        <v>1090</v>
      </c>
      <c r="D71" s="389"/>
      <c r="E71" s="377">
        <v>972</v>
      </c>
      <c r="F71" s="377">
        <v>952</v>
      </c>
      <c r="G71" s="377">
        <v>1071</v>
      </c>
      <c r="H71" s="377">
        <v>1022</v>
      </c>
      <c r="I71" s="377">
        <v>1049</v>
      </c>
      <c r="J71" s="409"/>
      <c r="K71" s="377"/>
      <c r="L71" s="377">
        <v>1097</v>
      </c>
      <c r="M71" s="377">
        <v>1187</v>
      </c>
      <c r="N71" s="377"/>
      <c r="O71" s="377">
        <v>1162</v>
      </c>
      <c r="P71" s="373"/>
      <c r="Q71" s="373">
        <v>1163</v>
      </c>
      <c r="R71" s="373">
        <v>1145</v>
      </c>
      <c r="S71" s="373"/>
      <c r="T71" s="373"/>
      <c r="U71" s="373"/>
      <c r="V71" s="589">
        <f>1566/4*3</f>
        <v>1175</v>
      </c>
      <c r="W71" s="589"/>
      <c r="X71" s="589"/>
      <c r="Y71" s="364">
        <f t="shared" si="46"/>
        <v>60.555999999999997</v>
      </c>
      <c r="Z71" s="364">
        <f t="shared" si="47"/>
        <v>-153.52099999999999</v>
      </c>
      <c r="AA71" s="364">
        <f t="shared" si="48"/>
        <v>54</v>
      </c>
      <c r="AB71" s="364">
        <f t="shared" si="49"/>
        <v>-2.415</v>
      </c>
      <c r="AC71" s="364">
        <f t="shared" si="50"/>
        <v>14.032999999999999</v>
      </c>
      <c r="AD71" s="364">
        <f t="shared" si="51"/>
        <v>-6.7220000000000004</v>
      </c>
      <c r="AE71" s="364">
        <f t="shared" si="52"/>
        <v>-139.68</v>
      </c>
      <c r="AF71" s="364">
        <f t="shared" si="53"/>
        <v>0</v>
      </c>
      <c r="AG71" s="364">
        <f t="shared" si="54"/>
        <v>60.944000000000003</v>
      </c>
      <c r="AH71" s="364">
        <f t="shared" si="55"/>
        <v>12.802</v>
      </c>
      <c r="AI71" s="393">
        <f t="shared" si="56"/>
        <v>8.2040000000000006</v>
      </c>
      <c r="AJ71" s="393">
        <f t="shared" si="57"/>
        <v>-100</v>
      </c>
      <c r="AK71" s="393" t="e">
        <f t="shared" si="58"/>
        <v>#DIV/0!</v>
      </c>
      <c r="AL71" s="393">
        <f t="shared" si="59"/>
        <v>-100</v>
      </c>
      <c r="AM71" s="393" t="e">
        <f t="shared" si="60"/>
        <v>#DIV/0!</v>
      </c>
      <c r="AN71" s="393">
        <f t="shared" si="61"/>
        <v>-1.548</v>
      </c>
      <c r="AO71" s="393">
        <f t="shared" si="62"/>
        <v>-100</v>
      </c>
      <c r="AP71" s="393" t="e">
        <f t="shared" si="63"/>
        <v>#DIV/0!</v>
      </c>
      <c r="AQ71" s="393" t="e">
        <f t="shared" si="64"/>
        <v>#DIV/0!</v>
      </c>
      <c r="AR71" s="393" t="e">
        <f t="shared" si="65"/>
        <v>#DIV/0!</v>
      </c>
      <c r="AS71" s="393">
        <f t="shared" si="66"/>
        <v>-100</v>
      </c>
      <c r="AT71" s="393" t="e">
        <f t="shared" si="67"/>
        <v>#DIV/0!</v>
      </c>
    </row>
    <row r="72" spans="1:46" ht="15.75" customHeight="1" x14ac:dyDescent="0.25">
      <c r="A72" s="361" t="s">
        <v>780</v>
      </c>
      <c r="B72" s="388">
        <f>298.5*3</f>
        <v>896</v>
      </c>
      <c r="C72" s="388">
        <f>311*3</f>
        <v>933</v>
      </c>
      <c r="D72" s="388"/>
      <c r="E72" s="377"/>
      <c r="F72" s="377"/>
      <c r="G72" s="377"/>
      <c r="H72" s="377"/>
      <c r="I72" s="377"/>
      <c r="J72" s="409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588"/>
      <c r="W72" s="588"/>
      <c r="X72" s="588"/>
      <c r="Y72" s="364">
        <f t="shared" si="46"/>
        <v>4.093</v>
      </c>
      <c r="Z72" s="364">
        <f t="shared" si="47"/>
        <v>-107.61199999999999</v>
      </c>
      <c r="AA72" s="364">
        <f t="shared" si="48"/>
        <v>0</v>
      </c>
      <c r="AB72" s="364">
        <f t="shared" si="49"/>
        <v>0</v>
      </c>
      <c r="AC72" s="364">
        <f t="shared" si="50"/>
        <v>0</v>
      </c>
      <c r="AD72" s="364">
        <f t="shared" si="51"/>
        <v>0</v>
      </c>
      <c r="AE72" s="364">
        <f t="shared" si="52"/>
        <v>0</v>
      </c>
      <c r="AF72" s="364">
        <f t="shared" si="53"/>
        <v>0</v>
      </c>
      <c r="AG72" s="364">
        <f t="shared" si="54"/>
        <v>0</v>
      </c>
      <c r="AH72" s="364">
        <f t="shared" si="55"/>
        <v>0</v>
      </c>
      <c r="AI72" s="393" t="e">
        <f t="shared" si="56"/>
        <v>#DIV/0!</v>
      </c>
      <c r="AJ72" s="393" t="e">
        <f t="shared" si="57"/>
        <v>#DIV/0!</v>
      </c>
      <c r="AK72" s="393" t="e">
        <f t="shared" si="58"/>
        <v>#DIV/0!</v>
      </c>
      <c r="AL72" s="393" t="e">
        <f t="shared" si="59"/>
        <v>#DIV/0!</v>
      </c>
      <c r="AM72" s="393" t="e">
        <f t="shared" si="60"/>
        <v>#DIV/0!</v>
      </c>
      <c r="AN72" s="393" t="e">
        <f t="shared" si="61"/>
        <v>#DIV/0!</v>
      </c>
      <c r="AO72" s="393" t="e">
        <f t="shared" si="62"/>
        <v>#DIV/0!</v>
      </c>
      <c r="AP72" s="393" t="e">
        <f t="shared" si="63"/>
        <v>#DIV/0!</v>
      </c>
      <c r="AQ72" s="393" t="e">
        <f t="shared" si="64"/>
        <v>#DIV/0!</v>
      </c>
      <c r="AR72" s="393" t="e">
        <f t="shared" si="65"/>
        <v>#DIV/0!</v>
      </c>
      <c r="AS72" s="393" t="e">
        <f t="shared" si="66"/>
        <v>#DIV/0!</v>
      </c>
      <c r="AT72" s="393" t="e">
        <f t="shared" si="67"/>
        <v>#DIV/0!</v>
      </c>
    </row>
    <row r="73" spans="1:46" ht="15.75" customHeight="1" x14ac:dyDescent="0.25">
      <c r="A73" s="361" t="s">
        <v>783</v>
      </c>
      <c r="B73" s="388"/>
      <c r="C73" s="388">
        <f>276*3</f>
        <v>828</v>
      </c>
      <c r="D73" s="388"/>
      <c r="E73" s="377"/>
      <c r="F73" s="377"/>
      <c r="G73" s="377"/>
      <c r="H73" s="377"/>
      <c r="I73" s="377"/>
      <c r="J73" s="409"/>
      <c r="K73" s="377"/>
      <c r="L73" s="377"/>
      <c r="M73" s="377"/>
      <c r="N73" s="377"/>
      <c r="O73" s="377"/>
      <c r="P73" s="377"/>
      <c r="Q73" s="377"/>
      <c r="R73" s="377"/>
      <c r="S73" s="377"/>
      <c r="T73" s="377"/>
      <c r="U73" s="377"/>
      <c r="V73" s="588"/>
      <c r="W73" s="588"/>
      <c r="X73" s="588"/>
      <c r="Y73" s="364">
        <f t="shared" si="46"/>
        <v>46</v>
      </c>
      <c r="Z73" s="364">
        <f t="shared" si="47"/>
        <v>-85.185000000000002</v>
      </c>
      <c r="AA73" s="364">
        <f t="shared" si="48"/>
        <v>0</v>
      </c>
      <c r="AB73" s="364">
        <f t="shared" si="49"/>
        <v>0</v>
      </c>
      <c r="AC73" s="364">
        <f t="shared" si="50"/>
        <v>0</v>
      </c>
      <c r="AD73" s="364">
        <f t="shared" si="51"/>
        <v>0</v>
      </c>
      <c r="AE73" s="364">
        <f t="shared" si="52"/>
        <v>0</v>
      </c>
      <c r="AF73" s="364">
        <f t="shared" si="53"/>
        <v>0</v>
      </c>
      <c r="AG73" s="364">
        <f t="shared" si="54"/>
        <v>0</v>
      </c>
      <c r="AH73" s="364">
        <f t="shared" si="55"/>
        <v>0</v>
      </c>
      <c r="AI73" s="393" t="e">
        <f t="shared" si="56"/>
        <v>#DIV/0!</v>
      </c>
      <c r="AJ73" s="393" t="e">
        <f t="shared" si="57"/>
        <v>#DIV/0!</v>
      </c>
      <c r="AK73" s="393" t="e">
        <f t="shared" si="58"/>
        <v>#DIV/0!</v>
      </c>
      <c r="AL73" s="393" t="e">
        <f t="shared" si="59"/>
        <v>#DIV/0!</v>
      </c>
      <c r="AM73" s="393" t="e">
        <f t="shared" si="60"/>
        <v>#DIV/0!</v>
      </c>
      <c r="AN73" s="393" t="e">
        <f t="shared" si="61"/>
        <v>#DIV/0!</v>
      </c>
      <c r="AO73" s="393" t="e">
        <f t="shared" si="62"/>
        <v>#DIV/0!</v>
      </c>
      <c r="AP73" s="393" t="e">
        <f t="shared" si="63"/>
        <v>#DIV/0!</v>
      </c>
      <c r="AQ73" s="393" t="e">
        <f t="shared" si="64"/>
        <v>#DIV/0!</v>
      </c>
      <c r="AR73" s="393" t="e">
        <f t="shared" si="65"/>
        <v>#DIV/0!</v>
      </c>
      <c r="AS73" s="393" t="e">
        <f t="shared" si="66"/>
        <v>#DIV/0!</v>
      </c>
      <c r="AT73" s="393" t="e">
        <f t="shared" si="67"/>
        <v>#DIV/0!</v>
      </c>
    </row>
    <row r="74" spans="1:46" ht="15.75" customHeight="1" x14ac:dyDescent="0.25">
      <c r="A74" s="361" t="s">
        <v>3733</v>
      </c>
      <c r="B74" s="389">
        <f>398.5*3</f>
        <v>1196</v>
      </c>
      <c r="C74" s="389">
        <f>371.75*3</f>
        <v>1115</v>
      </c>
      <c r="D74" s="389">
        <f>360*3</f>
        <v>1080</v>
      </c>
      <c r="E74" s="377">
        <v>1146</v>
      </c>
      <c r="F74" s="377">
        <v>1070</v>
      </c>
      <c r="G74" s="377">
        <v>1008</v>
      </c>
      <c r="H74" s="377">
        <v>939</v>
      </c>
      <c r="I74" s="377"/>
      <c r="J74" s="409"/>
      <c r="K74" s="377"/>
      <c r="L74" s="377"/>
      <c r="M74" s="377">
        <v>1101</v>
      </c>
      <c r="N74" s="377">
        <v>929</v>
      </c>
      <c r="O74" s="377"/>
      <c r="P74" s="373"/>
      <c r="Q74" s="373">
        <v>956</v>
      </c>
      <c r="R74" s="373">
        <v>998</v>
      </c>
      <c r="S74" s="373">
        <v>1043</v>
      </c>
      <c r="T74" s="373">
        <v>1020</v>
      </c>
      <c r="U74" s="373">
        <v>920</v>
      </c>
      <c r="V74" s="589"/>
      <c r="W74" s="589"/>
      <c r="X74" s="589"/>
      <c r="Y74" s="364">
        <f t="shared" si="46"/>
        <v>-13.411</v>
      </c>
      <c r="Z74" s="364">
        <f t="shared" si="47"/>
        <v>-5.109</v>
      </c>
      <c r="AA74" s="364">
        <f t="shared" si="48"/>
        <v>9.1669999999999998</v>
      </c>
      <c r="AB74" s="364">
        <f t="shared" si="49"/>
        <v>-11.621</v>
      </c>
      <c r="AC74" s="364">
        <f t="shared" si="50"/>
        <v>-8.4930000000000003</v>
      </c>
      <c r="AD74" s="364">
        <f t="shared" si="51"/>
        <v>-8.7119999999999997</v>
      </c>
      <c r="AE74" s="364">
        <f t="shared" si="52"/>
        <v>0</v>
      </c>
      <c r="AF74" s="364">
        <f t="shared" si="53"/>
        <v>0</v>
      </c>
      <c r="AG74" s="364">
        <f t="shared" si="54"/>
        <v>0</v>
      </c>
      <c r="AH74" s="364">
        <f t="shared" si="55"/>
        <v>61.167000000000002</v>
      </c>
      <c r="AI74" s="393" t="e">
        <f t="shared" si="56"/>
        <v>#DIV/0!</v>
      </c>
      <c r="AJ74" s="393">
        <f t="shared" si="57"/>
        <v>-15.622</v>
      </c>
      <c r="AK74" s="393">
        <f t="shared" si="58"/>
        <v>-100</v>
      </c>
      <c r="AL74" s="393" t="e">
        <f t="shared" si="59"/>
        <v>#DIV/0!</v>
      </c>
      <c r="AM74" s="393" t="e">
        <f t="shared" si="60"/>
        <v>#DIV/0!</v>
      </c>
      <c r="AN74" s="393">
        <f t="shared" si="61"/>
        <v>4.3929999999999998</v>
      </c>
      <c r="AO74" s="393">
        <f t="shared" si="62"/>
        <v>4.5090000000000003</v>
      </c>
      <c r="AP74" s="393">
        <f t="shared" si="63"/>
        <v>-2.2050000000000001</v>
      </c>
      <c r="AQ74" s="393">
        <f t="shared" si="64"/>
        <v>-9.8040000000000003</v>
      </c>
      <c r="AR74" s="393">
        <f t="shared" si="65"/>
        <v>-100</v>
      </c>
      <c r="AS74" s="393" t="e">
        <f t="shared" si="66"/>
        <v>#DIV/0!</v>
      </c>
      <c r="AT74" s="393" t="e">
        <f t="shared" si="67"/>
        <v>#DIV/0!</v>
      </c>
    </row>
    <row r="75" spans="1:46" ht="15.75" customHeight="1" x14ac:dyDescent="0.25">
      <c r="A75" s="361" t="s">
        <v>3749</v>
      </c>
      <c r="B75" s="389">
        <f>386.5*3</f>
        <v>1160</v>
      </c>
      <c r="C75" s="389">
        <f>377.75*3</f>
        <v>1133</v>
      </c>
      <c r="D75" s="389">
        <f>367.5*3</f>
        <v>1103</v>
      </c>
      <c r="E75" s="377">
        <v>1143</v>
      </c>
      <c r="F75" s="377">
        <v>1097</v>
      </c>
      <c r="G75" s="377">
        <v>1050</v>
      </c>
      <c r="H75" s="377">
        <v>1121</v>
      </c>
      <c r="I75" s="377">
        <v>1134</v>
      </c>
      <c r="J75" s="409">
        <f>1399/4*3</f>
        <v>1049</v>
      </c>
      <c r="K75" s="377">
        <v>1052</v>
      </c>
      <c r="L75" s="377">
        <v>958</v>
      </c>
      <c r="M75" s="377">
        <v>996</v>
      </c>
      <c r="N75" s="377">
        <v>1043</v>
      </c>
      <c r="O75" s="377">
        <v>908</v>
      </c>
      <c r="P75" s="377">
        <v>919</v>
      </c>
      <c r="Q75" s="377">
        <v>1048</v>
      </c>
      <c r="R75" s="377">
        <v>1075</v>
      </c>
      <c r="S75" s="377">
        <v>1085</v>
      </c>
      <c r="T75" s="377"/>
      <c r="U75" s="377"/>
      <c r="V75" s="588"/>
      <c r="W75" s="588"/>
      <c r="X75" s="588"/>
      <c r="Y75" s="364">
        <f t="shared" si="46"/>
        <v>-4.2190000000000003</v>
      </c>
      <c r="Z75" s="364">
        <f t="shared" si="47"/>
        <v>-4.4980000000000002</v>
      </c>
      <c r="AA75" s="364">
        <f t="shared" si="48"/>
        <v>5.7389999999999999</v>
      </c>
      <c r="AB75" s="364">
        <f t="shared" si="49"/>
        <v>-7.0019999999999998</v>
      </c>
      <c r="AC75" s="364">
        <f t="shared" si="50"/>
        <v>-6.6859999999999999</v>
      </c>
      <c r="AD75" s="364">
        <f t="shared" si="51"/>
        <v>9.4670000000000005</v>
      </c>
      <c r="AE75" s="364">
        <f t="shared" si="52"/>
        <v>-12.763</v>
      </c>
      <c r="AF75" s="364">
        <f t="shared" si="53"/>
        <v>0.39900000000000002</v>
      </c>
      <c r="AG75" s="364">
        <f t="shared" si="54"/>
        <v>-12.567</v>
      </c>
      <c r="AH75" s="364">
        <f t="shared" si="55"/>
        <v>4.5129999999999999</v>
      </c>
      <c r="AI75" s="393">
        <f t="shared" si="56"/>
        <v>3.9670000000000001</v>
      </c>
      <c r="AJ75" s="393">
        <f t="shared" si="57"/>
        <v>4.7190000000000003</v>
      </c>
      <c r="AK75" s="393">
        <f t="shared" si="58"/>
        <v>-12.943</v>
      </c>
      <c r="AL75" s="393">
        <f t="shared" si="59"/>
        <v>1.2110000000000001</v>
      </c>
      <c r="AM75" s="393">
        <f t="shared" si="60"/>
        <v>14.037000000000001</v>
      </c>
      <c r="AN75" s="393">
        <f t="shared" si="61"/>
        <v>2.5760000000000001</v>
      </c>
      <c r="AO75" s="393">
        <f t="shared" si="62"/>
        <v>0.93</v>
      </c>
      <c r="AP75" s="393">
        <f t="shared" si="63"/>
        <v>-100</v>
      </c>
      <c r="AQ75" s="393" t="e">
        <f t="shared" si="64"/>
        <v>#DIV/0!</v>
      </c>
      <c r="AR75" s="393" t="e">
        <f t="shared" si="65"/>
        <v>#DIV/0!</v>
      </c>
      <c r="AS75" s="393" t="e">
        <f t="shared" si="66"/>
        <v>#DIV/0!</v>
      </c>
      <c r="AT75" s="393" t="e">
        <f t="shared" si="67"/>
        <v>#DIV/0!</v>
      </c>
    </row>
    <row r="76" spans="1:46" ht="15.75" customHeight="1" x14ac:dyDescent="0.25">
      <c r="A76" s="361" t="s">
        <v>3757</v>
      </c>
      <c r="B76" s="388"/>
      <c r="C76" s="388">
        <f>288*3</f>
        <v>864</v>
      </c>
      <c r="D76" s="388">
        <f>261.5*3</f>
        <v>785</v>
      </c>
      <c r="E76" s="377"/>
      <c r="F76" s="377"/>
      <c r="G76" s="377"/>
      <c r="H76" s="377"/>
      <c r="I76" s="377"/>
      <c r="J76" s="409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588"/>
      <c r="W76" s="588"/>
      <c r="X76" s="588"/>
      <c r="Y76" s="364">
        <f t="shared" si="46"/>
        <v>48</v>
      </c>
      <c r="Z76" s="364">
        <f t="shared" si="47"/>
        <v>-8.44</v>
      </c>
      <c r="AA76" s="364">
        <f t="shared" si="48"/>
        <v>-77.34</v>
      </c>
      <c r="AB76" s="364">
        <f t="shared" si="49"/>
        <v>0</v>
      </c>
      <c r="AC76" s="364">
        <f t="shared" si="50"/>
        <v>0</v>
      </c>
      <c r="AD76" s="364">
        <f t="shared" si="51"/>
        <v>0</v>
      </c>
      <c r="AE76" s="364">
        <f t="shared" si="52"/>
        <v>0</v>
      </c>
      <c r="AF76" s="364">
        <f t="shared" si="53"/>
        <v>0</v>
      </c>
      <c r="AG76" s="364">
        <f t="shared" si="54"/>
        <v>0</v>
      </c>
      <c r="AH76" s="364">
        <f t="shared" si="55"/>
        <v>0</v>
      </c>
      <c r="AI76" s="393" t="e">
        <f t="shared" si="56"/>
        <v>#DIV/0!</v>
      </c>
      <c r="AJ76" s="393" t="e">
        <f t="shared" si="57"/>
        <v>#DIV/0!</v>
      </c>
      <c r="AK76" s="393" t="e">
        <f t="shared" si="58"/>
        <v>#DIV/0!</v>
      </c>
      <c r="AL76" s="393" t="e">
        <f t="shared" si="59"/>
        <v>#DIV/0!</v>
      </c>
      <c r="AM76" s="393" t="e">
        <f t="shared" si="60"/>
        <v>#DIV/0!</v>
      </c>
      <c r="AN76" s="393" t="e">
        <f t="shared" si="61"/>
        <v>#DIV/0!</v>
      </c>
      <c r="AO76" s="393" t="e">
        <f t="shared" si="62"/>
        <v>#DIV/0!</v>
      </c>
      <c r="AP76" s="393" t="e">
        <f t="shared" si="63"/>
        <v>#DIV/0!</v>
      </c>
      <c r="AQ76" s="393" t="e">
        <f t="shared" si="64"/>
        <v>#DIV/0!</v>
      </c>
      <c r="AR76" s="393" t="e">
        <f t="shared" si="65"/>
        <v>#DIV/0!</v>
      </c>
      <c r="AS76" s="393" t="e">
        <f t="shared" si="66"/>
        <v>#DIV/0!</v>
      </c>
      <c r="AT76" s="393" t="e">
        <f t="shared" si="67"/>
        <v>#DIV/0!</v>
      </c>
    </row>
    <row r="77" spans="1:46" ht="15.75" customHeight="1" x14ac:dyDescent="0.25">
      <c r="A77" s="361" t="s">
        <v>4131</v>
      </c>
      <c r="B77" s="389">
        <f>294*3</f>
        <v>882</v>
      </c>
      <c r="C77" s="389">
        <f>318.5*3</f>
        <v>956</v>
      </c>
      <c r="D77" s="389">
        <f>317*3</f>
        <v>951</v>
      </c>
      <c r="E77" s="377">
        <v>1026</v>
      </c>
      <c r="F77" s="377">
        <v>928</v>
      </c>
      <c r="G77" s="377">
        <v>989</v>
      </c>
      <c r="H77" s="377">
        <v>1006</v>
      </c>
      <c r="I77" s="377"/>
      <c r="J77" s="409"/>
      <c r="K77" s="377">
        <v>887</v>
      </c>
      <c r="L77" s="377"/>
      <c r="M77" s="377">
        <v>1079</v>
      </c>
      <c r="N77" s="377">
        <v>987</v>
      </c>
      <c r="O77" s="377"/>
      <c r="P77" s="373">
        <v>1032</v>
      </c>
      <c r="Q77" s="373">
        <v>1060</v>
      </c>
      <c r="R77" s="373"/>
      <c r="S77" s="373">
        <v>1049</v>
      </c>
      <c r="T77" s="373"/>
      <c r="U77" s="373"/>
      <c r="V77" s="589"/>
      <c r="W77" s="589"/>
      <c r="X77" s="589">
        <v>1112</v>
      </c>
      <c r="Y77" s="364">
        <f t="shared" si="46"/>
        <v>8.0609999999999999</v>
      </c>
      <c r="Z77" s="364">
        <f t="shared" si="47"/>
        <v>-0.59199999999999997</v>
      </c>
      <c r="AA77" s="364">
        <f t="shared" si="48"/>
        <v>8.8339999999999996</v>
      </c>
      <c r="AB77" s="364">
        <f t="shared" si="49"/>
        <v>-12.661</v>
      </c>
      <c r="AC77" s="364">
        <f t="shared" si="50"/>
        <v>6.9950000000000001</v>
      </c>
      <c r="AD77" s="364">
        <f t="shared" si="51"/>
        <v>2.0960000000000001</v>
      </c>
      <c r="AE77" s="364">
        <f t="shared" si="52"/>
        <v>0</v>
      </c>
      <c r="AF77" s="364">
        <f t="shared" si="53"/>
        <v>49.277999999999999</v>
      </c>
      <c r="AG77" s="364">
        <f t="shared" si="54"/>
        <v>-97.152000000000001</v>
      </c>
      <c r="AH77" s="364">
        <f t="shared" si="55"/>
        <v>59.944000000000003</v>
      </c>
      <c r="AI77" s="393" t="e">
        <f t="shared" si="56"/>
        <v>#DIV/0!</v>
      </c>
      <c r="AJ77" s="393">
        <f t="shared" si="57"/>
        <v>-8.5259999999999998</v>
      </c>
      <c r="AK77" s="393">
        <f t="shared" si="58"/>
        <v>-100</v>
      </c>
      <c r="AL77" s="393" t="e">
        <f t="shared" si="59"/>
        <v>#DIV/0!</v>
      </c>
      <c r="AM77" s="393">
        <f t="shared" si="60"/>
        <v>2.7130000000000001</v>
      </c>
      <c r="AN77" s="393">
        <f t="shared" si="61"/>
        <v>-100</v>
      </c>
      <c r="AO77" s="393" t="e">
        <f t="shared" si="62"/>
        <v>#DIV/0!</v>
      </c>
      <c r="AP77" s="393">
        <f t="shared" si="63"/>
        <v>-100</v>
      </c>
      <c r="AQ77" s="393" t="e">
        <f t="shared" si="64"/>
        <v>#DIV/0!</v>
      </c>
      <c r="AR77" s="393" t="e">
        <f t="shared" si="65"/>
        <v>#DIV/0!</v>
      </c>
      <c r="AS77" s="393" t="e">
        <f t="shared" si="66"/>
        <v>#DIV/0!</v>
      </c>
      <c r="AT77" s="393" t="e">
        <f t="shared" si="67"/>
        <v>#DIV/0!</v>
      </c>
    </row>
    <row r="78" spans="1:46" ht="15.75" customHeight="1" x14ac:dyDescent="0.25">
      <c r="A78" s="361" t="s">
        <v>3501</v>
      </c>
      <c r="B78" s="388"/>
      <c r="C78" s="388"/>
      <c r="D78" s="388"/>
      <c r="E78" s="377"/>
      <c r="F78" s="377"/>
      <c r="G78" s="377"/>
      <c r="H78" s="377"/>
      <c r="I78" s="377"/>
      <c r="J78" s="409"/>
      <c r="K78" s="377"/>
      <c r="L78" s="377"/>
      <c r="M78" s="377"/>
      <c r="N78" s="377"/>
      <c r="O78" s="377"/>
      <c r="P78" s="377"/>
      <c r="Q78" s="377"/>
      <c r="R78" s="377">
        <v>919</v>
      </c>
      <c r="S78" s="377"/>
      <c r="T78" s="377"/>
      <c r="U78" s="377"/>
      <c r="V78" s="588"/>
      <c r="W78" s="588"/>
      <c r="X78" s="588"/>
      <c r="Y78" s="364">
        <f t="shared" si="46"/>
        <v>0</v>
      </c>
      <c r="Z78" s="364">
        <f t="shared" si="47"/>
        <v>0</v>
      </c>
      <c r="AA78" s="364">
        <f t="shared" si="48"/>
        <v>0</v>
      </c>
      <c r="AB78" s="364">
        <f t="shared" si="49"/>
        <v>0</v>
      </c>
      <c r="AC78" s="364">
        <f t="shared" si="50"/>
        <v>0</v>
      </c>
      <c r="AD78" s="364">
        <f t="shared" si="51"/>
        <v>0</v>
      </c>
      <c r="AE78" s="364">
        <f t="shared" si="52"/>
        <v>0</v>
      </c>
      <c r="AF78" s="364">
        <f t="shared" si="53"/>
        <v>0</v>
      </c>
      <c r="AG78" s="364">
        <f t="shared" si="54"/>
        <v>0</v>
      </c>
      <c r="AH78" s="364">
        <f t="shared" si="55"/>
        <v>0</v>
      </c>
      <c r="AI78" s="393" t="e">
        <f t="shared" si="56"/>
        <v>#DIV/0!</v>
      </c>
      <c r="AJ78" s="393" t="e">
        <f t="shared" si="57"/>
        <v>#DIV/0!</v>
      </c>
      <c r="AK78" s="393" t="e">
        <f t="shared" si="58"/>
        <v>#DIV/0!</v>
      </c>
      <c r="AL78" s="393" t="e">
        <f t="shared" si="59"/>
        <v>#DIV/0!</v>
      </c>
      <c r="AM78" s="393" t="e">
        <f t="shared" si="60"/>
        <v>#DIV/0!</v>
      </c>
      <c r="AN78" s="393" t="e">
        <f t="shared" si="61"/>
        <v>#DIV/0!</v>
      </c>
      <c r="AO78" s="393">
        <f t="shared" si="62"/>
        <v>-100</v>
      </c>
      <c r="AP78" s="393" t="e">
        <f t="shared" si="63"/>
        <v>#DIV/0!</v>
      </c>
      <c r="AQ78" s="393" t="e">
        <f t="shared" si="64"/>
        <v>#DIV/0!</v>
      </c>
      <c r="AR78" s="393" t="e">
        <f t="shared" si="65"/>
        <v>#DIV/0!</v>
      </c>
      <c r="AS78" s="393" t="e">
        <f t="shared" si="66"/>
        <v>#DIV/0!</v>
      </c>
      <c r="AT78" s="393" t="e">
        <f t="shared" si="67"/>
        <v>#DIV/0!</v>
      </c>
    </row>
    <row r="79" spans="1:46" ht="13.2" x14ac:dyDescent="0.25">
      <c r="A79" s="576" t="s">
        <v>4406</v>
      </c>
      <c r="B79" s="389">
        <f>340*3</f>
        <v>1020</v>
      </c>
      <c r="C79" s="389">
        <f>316*3</f>
        <v>948</v>
      </c>
      <c r="D79" s="389">
        <f>308.5*3</f>
        <v>926</v>
      </c>
      <c r="E79" s="377">
        <v>978</v>
      </c>
      <c r="F79" s="377">
        <v>926</v>
      </c>
      <c r="G79" s="377">
        <v>1041</v>
      </c>
      <c r="H79" s="377">
        <v>1024</v>
      </c>
      <c r="I79" s="377">
        <v>1062</v>
      </c>
      <c r="J79" s="409"/>
      <c r="K79" s="377">
        <v>1125</v>
      </c>
      <c r="L79" s="377">
        <v>1136</v>
      </c>
      <c r="M79" s="377">
        <v>1022</v>
      </c>
      <c r="N79" s="377">
        <v>1056</v>
      </c>
      <c r="O79" s="377">
        <v>1029</v>
      </c>
      <c r="P79" s="377">
        <v>931</v>
      </c>
      <c r="Q79" s="377">
        <v>1089</v>
      </c>
      <c r="R79" s="377">
        <v>960</v>
      </c>
      <c r="S79" s="377">
        <v>1109</v>
      </c>
      <c r="T79" s="377">
        <v>1024</v>
      </c>
      <c r="U79" s="377">
        <v>1026</v>
      </c>
      <c r="V79" s="588"/>
      <c r="W79" s="588"/>
      <c r="X79" s="588">
        <v>1099</v>
      </c>
      <c r="Y79" s="364">
        <f t="shared" si="46"/>
        <v>-9.2309999999999999</v>
      </c>
      <c r="Z79" s="364">
        <f t="shared" si="47"/>
        <v>-2.5819999999999999</v>
      </c>
      <c r="AA79" s="364">
        <f t="shared" si="48"/>
        <v>5.95</v>
      </c>
      <c r="AB79" s="364">
        <f t="shared" si="49"/>
        <v>-6.3259999999999996</v>
      </c>
      <c r="AC79" s="364">
        <f t="shared" si="50"/>
        <v>13.157999999999999</v>
      </c>
      <c r="AD79" s="364">
        <f t="shared" si="51"/>
        <v>-2.2400000000000002</v>
      </c>
      <c r="AE79" s="364">
        <f t="shared" si="52"/>
        <v>-143.90199999999999</v>
      </c>
      <c r="AF79" s="364">
        <f t="shared" si="53"/>
        <v>62.5</v>
      </c>
      <c r="AG79" s="364">
        <f t="shared" si="54"/>
        <v>1.63</v>
      </c>
      <c r="AH79" s="364">
        <f t="shared" si="55"/>
        <v>-17.169</v>
      </c>
      <c r="AI79" s="393">
        <f t="shared" si="56"/>
        <v>-10.035</v>
      </c>
      <c r="AJ79" s="393">
        <f t="shared" si="57"/>
        <v>3.327</v>
      </c>
      <c r="AK79" s="393">
        <f t="shared" si="58"/>
        <v>-2.5569999999999999</v>
      </c>
      <c r="AL79" s="393">
        <f t="shared" si="59"/>
        <v>-9.5239999999999991</v>
      </c>
      <c r="AM79" s="393">
        <f t="shared" si="60"/>
        <v>16.971</v>
      </c>
      <c r="AN79" s="393">
        <f t="shared" si="61"/>
        <v>-11.846</v>
      </c>
      <c r="AO79" s="393">
        <f t="shared" si="62"/>
        <v>15.521000000000001</v>
      </c>
      <c r="AP79" s="393">
        <f t="shared" si="63"/>
        <v>-7.665</v>
      </c>
      <c r="AQ79" s="393">
        <f t="shared" si="64"/>
        <v>0.19500000000000001</v>
      </c>
      <c r="AR79" s="393">
        <f t="shared" si="65"/>
        <v>-100</v>
      </c>
      <c r="AS79" s="393" t="e">
        <f t="shared" si="66"/>
        <v>#DIV/0!</v>
      </c>
      <c r="AT79" s="393" t="e">
        <f t="shared" si="67"/>
        <v>#DIV/0!</v>
      </c>
    </row>
    <row r="80" spans="1:46" ht="15.75" customHeight="1" x14ac:dyDescent="0.25">
      <c r="A80" s="361" t="s">
        <v>317</v>
      </c>
      <c r="B80" s="389"/>
      <c r="C80" s="389"/>
      <c r="D80" s="389"/>
      <c r="E80" s="377"/>
      <c r="F80" s="377"/>
      <c r="G80" s="377"/>
      <c r="H80" s="377"/>
      <c r="I80" s="377"/>
      <c r="J80" s="409">
        <f>1497/4*3</f>
        <v>1123</v>
      </c>
      <c r="K80" s="377">
        <v>1043</v>
      </c>
      <c r="L80" s="377">
        <v>1203</v>
      </c>
      <c r="M80" s="377">
        <v>1190</v>
      </c>
      <c r="N80" s="377">
        <v>1101</v>
      </c>
      <c r="O80" s="377"/>
      <c r="P80" s="373"/>
      <c r="Q80" s="373"/>
      <c r="R80" s="373"/>
      <c r="S80" s="373"/>
      <c r="T80" s="373"/>
      <c r="U80" s="373"/>
      <c r="V80" s="589"/>
      <c r="W80" s="589"/>
      <c r="X80" s="589"/>
      <c r="Y80" s="364">
        <f t="shared" si="46"/>
        <v>0</v>
      </c>
      <c r="Z80" s="364">
        <f t="shared" si="47"/>
        <v>0</v>
      </c>
      <c r="AA80" s="364">
        <f t="shared" si="48"/>
        <v>0</v>
      </c>
      <c r="AB80" s="364">
        <f t="shared" si="49"/>
        <v>0</v>
      </c>
      <c r="AC80" s="364">
        <f t="shared" si="50"/>
        <v>0</v>
      </c>
      <c r="AD80" s="364">
        <f t="shared" si="51"/>
        <v>0</v>
      </c>
      <c r="AE80" s="364">
        <f t="shared" si="52"/>
        <v>62.389000000000003</v>
      </c>
      <c r="AF80" s="364">
        <f t="shared" si="53"/>
        <v>-11.817</v>
      </c>
      <c r="AG80" s="364">
        <f t="shared" si="54"/>
        <v>21.135999999999999</v>
      </c>
      <c r="AH80" s="364">
        <f t="shared" si="55"/>
        <v>-2.1779999999999999</v>
      </c>
      <c r="AI80" s="393">
        <f t="shared" si="56"/>
        <v>-1.081</v>
      </c>
      <c r="AJ80" s="393">
        <f t="shared" si="57"/>
        <v>-7.4790000000000001</v>
      </c>
      <c r="AK80" s="393">
        <f t="shared" si="58"/>
        <v>-100</v>
      </c>
      <c r="AL80" s="393" t="e">
        <f t="shared" si="59"/>
        <v>#DIV/0!</v>
      </c>
      <c r="AM80" s="393" t="e">
        <f t="shared" si="60"/>
        <v>#DIV/0!</v>
      </c>
      <c r="AN80" s="393" t="e">
        <f t="shared" si="61"/>
        <v>#DIV/0!</v>
      </c>
      <c r="AO80" s="393" t="e">
        <f t="shared" si="62"/>
        <v>#DIV/0!</v>
      </c>
      <c r="AP80" s="393" t="e">
        <f t="shared" si="63"/>
        <v>#DIV/0!</v>
      </c>
      <c r="AQ80" s="393" t="e">
        <f t="shared" si="64"/>
        <v>#DIV/0!</v>
      </c>
      <c r="AR80" s="393" t="e">
        <f t="shared" si="65"/>
        <v>#DIV/0!</v>
      </c>
      <c r="AS80" s="393" t="e">
        <f t="shared" si="66"/>
        <v>#DIV/0!</v>
      </c>
      <c r="AT80" s="393" t="e">
        <f t="shared" si="67"/>
        <v>#DIV/0!</v>
      </c>
    </row>
    <row r="81" spans="1:46" ht="15.75" customHeight="1" x14ac:dyDescent="0.25">
      <c r="A81" s="361" t="s">
        <v>1913</v>
      </c>
      <c r="B81" s="388">
        <f>260*3</f>
        <v>780</v>
      </c>
      <c r="C81" s="388"/>
      <c r="D81" s="388"/>
      <c r="E81" s="377"/>
      <c r="F81" s="377"/>
      <c r="G81" s="377"/>
      <c r="H81" s="377"/>
      <c r="I81" s="377"/>
      <c r="J81" s="409"/>
      <c r="K81" s="377"/>
      <c r="L81" s="377"/>
      <c r="M81" s="377"/>
      <c r="N81" s="377"/>
      <c r="O81" s="377"/>
      <c r="P81" s="377"/>
      <c r="Q81" s="377">
        <v>908</v>
      </c>
      <c r="R81" s="377"/>
      <c r="S81" s="377"/>
      <c r="T81" s="377"/>
      <c r="U81" s="377"/>
      <c r="V81" s="588"/>
      <c r="W81" s="588"/>
      <c r="X81" s="588"/>
      <c r="Y81" s="364">
        <f t="shared" si="46"/>
        <v>-76.471000000000004</v>
      </c>
      <c r="Z81" s="364">
        <f t="shared" si="47"/>
        <v>0</v>
      </c>
      <c r="AA81" s="364">
        <f t="shared" si="48"/>
        <v>0</v>
      </c>
      <c r="AB81" s="364">
        <f t="shared" si="49"/>
        <v>0</v>
      </c>
      <c r="AC81" s="364">
        <f t="shared" si="50"/>
        <v>0</v>
      </c>
      <c r="AD81" s="364">
        <f t="shared" si="51"/>
        <v>0</v>
      </c>
      <c r="AE81" s="364">
        <f t="shared" si="52"/>
        <v>0</v>
      </c>
      <c r="AF81" s="364">
        <f t="shared" si="53"/>
        <v>0</v>
      </c>
      <c r="AG81" s="364">
        <f t="shared" si="54"/>
        <v>0</v>
      </c>
      <c r="AH81" s="364">
        <f t="shared" si="55"/>
        <v>0</v>
      </c>
      <c r="AI81" s="393" t="e">
        <f t="shared" si="56"/>
        <v>#DIV/0!</v>
      </c>
      <c r="AJ81" s="393" t="e">
        <f t="shared" si="57"/>
        <v>#DIV/0!</v>
      </c>
      <c r="AK81" s="393" t="e">
        <f t="shared" si="58"/>
        <v>#DIV/0!</v>
      </c>
      <c r="AL81" s="393" t="e">
        <f t="shared" si="59"/>
        <v>#DIV/0!</v>
      </c>
      <c r="AM81" s="393" t="e">
        <f t="shared" si="60"/>
        <v>#DIV/0!</v>
      </c>
      <c r="AN81" s="393">
        <f t="shared" si="61"/>
        <v>-100</v>
      </c>
      <c r="AO81" s="393" t="e">
        <f t="shared" si="62"/>
        <v>#DIV/0!</v>
      </c>
      <c r="AP81" s="393" t="e">
        <f t="shared" si="63"/>
        <v>#DIV/0!</v>
      </c>
      <c r="AQ81" s="393" t="e">
        <f t="shared" si="64"/>
        <v>#DIV/0!</v>
      </c>
      <c r="AR81" s="393" t="e">
        <f t="shared" si="65"/>
        <v>#DIV/0!</v>
      </c>
      <c r="AS81" s="393" t="e">
        <f t="shared" si="66"/>
        <v>#DIV/0!</v>
      </c>
      <c r="AT81" s="393" t="e">
        <f t="shared" si="67"/>
        <v>#DIV/0!</v>
      </c>
    </row>
    <row r="82" spans="1:46" ht="15.75" customHeight="1" x14ac:dyDescent="0.25">
      <c r="A82" s="355" t="s">
        <v>2122</v>
      </c>
      <c r="B82" s="388"/>
      <c r="C82" s="388"/>
      <c r="D82" s="388"/>
      <c r="E82" s="377"/>
      <c r="F82" s="377"/>
      <c r="G82" s="377"/>
      <c r="H82" s="377"/>
      <c r="I82" s="377"/>
      <c r="J82" s="409"/>
      <c r="K82" s="377"/>
      <c r="L82" s="377"/>
      <c r="M82" s="377">
        <v>1072</v>
      </c>
      <c r="N82" s="377">
        <v>981</v>
      </c>
      <c r="O82" s="377">
        <v>949</v>
      </c>
      <c r="P82" s="377">
        <v>959</v>
      </c>
      <c r="Q82" s="377">
        <v>1016</v>
      </c>
      <c r="R82" s="377">
        <v>1007</v>
      </c>
      <c r="S82" s="377">
        <v>1042</v>
      </c>
      <c r="T82" s="377">
        <v>925</v>
      </c>
      <c r="U82" s="377">
        <v>991</v>
      </c>
      <c r="V82" s="588"/>
      <c r="W82" s="588"/>
      <c r="X82" s="588"/>
      <c r="Y82" s="364">
        <f t="shared" si="46"/>
        <v>0</v>
      </c>
      <c r="Z82" s="364">
        <f t="shared" si="47"/>
        <v>0</v>
      </c>
      <c r="AA82" s="364">
        <f t="shared" si="48"/>
        <v>0</v>
      </c>
      <c r="AB82" s="364">
        <f t="shared" si="49"/>
        <v>0</v>
      </c>
      <c r="AC82" s="364">
        <f t="shared" si="50"/>
        <v>0</v>
      </c>
      <c r="AD82" s="364">
        <f t="shared" si="51"/>
        <v>0</v>
      </c>
      <c r="AE82" s="364">
        <f t="shared" si="52"/>
        <v>0</v>
      </c>
      <c r="AF82" s="364">
        <f t="shared" si="53"/>
        <v>0</v>
      </c>
      <c r="AG82" s="364">
        <f t="shared" si="54"/>
        <v>0</v>
      </c>
      <c r="AH82" s="364">
        <f t="shared" si="55"/>
        <v>59.555999999999997</v>
      </c>
      <c r="AI82" s="393" t="e">
        <f t="shared" si="56"/>
        <v>#DIV/0!</v>
      </c>
      <c r="AJ82" s="393">
        <f t="shared" si="57"/>
        <v>-8.4890000000000008</v>
      </c>
      <c r="AK82" s="393">
        <f t="shared" si="58"/>
        <v>-3.262</v>
      </c>
      <c r="AL82" s="393">
        <f t="shared" si="59"/>
        <v>1.054</v>
      </c>
      <c r="AM82" s="393">
        <f t="shared" si="60"/>
        <v>5.944</v>
      </c>
      <c r="AN82" s="393">
        <f t="shared" si="61"/>
        <v>-0.88600000000000001</v>
      </c>
      <c r="AO82" s="393">
        <f t="shared" si="62"/>
        <v>3.476</v>
      </c>
      <c r="AP82" s="393">
        <f t="shared" si="63"/>
        <v>-11.228</v>
      </c>
      <c r="AQ82" s="393">
        <f t="shared" si="64"/>
        <v>7.1349999999999998</v>
      </c>
      <c r="AR82" s="393">
        <f t="shared" si="65"/>
        <v>-100</v>
      </c>
      <c r="AS82" s="393" t="e">
        <f t="shared" si="66"/>
        <v>#DIV/0!</v>
      </c>
      <c r="AT82" s="393" t="e">
        <f t="shared" si="67"/>
        <v>#DIV/0!</v>
      </c>
    </row>
    <row r="83" spans="1:46" ht="15.75" customHeight="1" x14ac:dyDescent="0.25">
      <c r="A83" s="361" t="s">
        <v>2568</v>
      </c>
      <c r="B83" s="388">
        <f>325*3</f>
        <v>975</v>
      </c>
      <c r="C83" s="388">
        <f>293.5*3</f>
        <v>881</v>
      </c>
      <c r="D83" s="388"/>
      <c r="E83" s="377">
        <v>930</v>
      </c>
      <c r="F83" s="377"/>
      <c r="G83" s="377">
        <v>890</v>
      </c>
      <c r="H83" s="377"/>
      <c r="I83" s="377"/>
      <c r="J83" s="409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588"/>
      <c r="W83" s="588"/>
      <c r="X83" s="588"/>
      <c r="Y83" s="364">
        <f t="shared" si="46"/>
        <v>-11.394</v>
      </c>
      <c r="Z83" s="364">
        <f t="shared" si="47"/>
        <v>-95.864999999999995</v>
      </c>
      <c r="AA83" s="364">
        <f t="shared" si="48"/>
        <v>51.667000000000002</v>
      </c>
      <c r="AB83" s="364">
        <f t="shared" si="49"/>
        <v>-106.89700000000001</v>
      </c>
      <c r="AC83" s="364">
        <f t="shared" si="50"/>
        <v>49.444000000000003</v>
      </c>
      <c r="AD83" s="364">
        <f t="shared" si="51"/>
        <v>-97.802000000000007</v>
      </c>
      <c r="AE83" s="364">
        <f t="shared" si="52"/>
        <v>0</v>
      </c>
      <c r="AF83" s="364">
        <f t="shared" si="53"/>
        <v>0</v>
      </c>
      <c r="AG83" s="364">
        <f t="shared" si="54"/>
        <v>0</v>
      </c>
      <c r="AH83" s="364">
        <f t="shared" si="55"/>
        <v>0</v>
      </c>
      <c r="AI83" s="393" t="e">
        <f t="shared" si="56"/>
        <v>#DIV/0!</v>
      </c>
      <c r="AJ83" s="393" t="e">
        <f t="shared" si="57"/>
        <v>#DIV/0!</v>
      </c>
      <c r="AK83" s="393" t="e">
        <f t="shared" si="58"/>
        <v>#DIV/0!</v>
      </c>
      <c r="AL83" s="393" t="e">
        <f t="shared" si="59"/>
        <v>#DIV/0!</v>
      </c>
      <c r="AM83" s="393" t="e">
        <f t="shared" si="60"/>
        <v>#DIV/0!</v>
      </c>
      <c r="AN83" s="393" t="e">
        <f t="shared" si="61"/>
        <v>#DIV/0!</v>
      </c>
      <c r="AO83" s="393" t="e">
        <f t="shared" si="62"/>
        <v>#DIV/0!</v>
      </c>
      <c r="AP83" s="393" t="e">
        <f t="shared" si="63"/>
        <v>#DIV/0!</v>
      </c>
      <c r="AQ83" s="393" t="e">
        <f t="shared" si="64"/>
        <v>#DIV/0!</v>
      </c>
      <c r="AR83" s="393" t="e">
        <f t="shared" si="65"/>
        <v>#DIV/0!</v>
      </c>
      <c r="AS83" s="393" t="e">
        <f t="shared" si="66"/>
        <v>#DIV/0!</v>
      </c>
      <c r="AT83" s="393" t="e">
        <f t="shared" si="67"/>
        <v>#DIV/0!</v>
      </c>
    </row>
    <row r="84" spans="1:46" ht="15.75" customHeight="1" x14ac:dyDescent="0.25">
      <c r="A84" s="361" t="s">
        <v>781</v>
      </c>
      <c r="B84" s="388"/>
      <c r="C84" s="388">
        <f>377.75*3</f>
        <v>1133</v>
      </c>
      <c r="D84" s="388"/>
      <c r="E84" s="377"/>
      <c r="F84" s="377"/>
      <c r="G84" s="377"/>
      <c r="H84" s="377"/>
      <c r="I84" s="377"/>
      <c r="J84" s="409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588"/>
      <c r="W84" s="588"/>
      <c r="X84" s="588"/>
      <c r="Y84" s="364">
        <f t="shared" si="46"/>
        <v>62.944000000000003</v>
      </c>
      <c r="Z84" s="364">
        <f t="shared" si="47"/>
        <v>-169.86500000000001</v>
      </c>
      <c r="AA84" s="364">
        <f t="shared" si="48"/>
        <v>0</v>
      </c>
      <c r="AB84" s="364">
        <f t="shared" si="49"/>
        <v>0</v>
      </c>
      <c r="AC84" s="364">
        <f t="shared" si="50"/>
        <v>0</v>
      </c>
      <c r="AD84" s="364">
        <f t="shared" si="51"/>
        <v>0</v>
      </c>
      <c r="AE84" s="364">
        <f t="shared" si="52"/>
        <v>0</v>
      </c>
      <c r="AF84" s="364">
        <f t="shared" si="53"/>
        <v>0</v>
      </c>
      <c r="AG84" s="364">
        <f t="shared" si="54"/>
        <v>0</v>
      </c>
      <c r="AH84" s="364">
        <f t="shared" si="55"/>
        <v>0</v>
      </c>
      <c r="AI84" s="393" t="e">
        <f t="shared" si="56"/>
        <v>#DIV/0!</v>
      </c>
      <c r="AJ84" s="393" t="e">
        <f t="shared" si="57"/>
        <v>#DIV/0!</v>
      </c>
      <c r="AK84" s="393" t="e">
        <f t="shared" si="58"/>
        <v>#DIV/0!</v>
      </c>
      <c r="AL84" s="393" t="e">
        <f t="shared" si="59"/>
        <v>#DIV/0!</v>
      </c>
      <c r="AM84" s="393" t="e">
        <f t="shared" si="60"/>
        <v>#DIV/0!</v>
      </c>
      <c r="AN84" s="393" t="e">
        <f t="shared" si="61"/>
        <v>#DIV/0!</v>
      </c>
      <c r="AO84" s="393" t="e">
        <f t="shared" si="62"/>
        <v>#DIV/0!</v>
      </c>
      <c r="AP84" s="393" t="e">
        <f t="shared" si="63"/>
        <v>#DIV/0!</v>
      </c>
      <c r="AQ84" s="393" t="e">
        <f t="shared" si="64"/>
        <v>#DIV/0!</v>
      </c>
      <c r="AR84" s="393" t="e">
        <f t="shared" si="65"/>
        <v>#DIV/0!</v>
      </c>
      <c r="AS84" s="393" t="e">
        <f t="shared" si="66"/>
        <v>#DIV/0!</v>
      </c>
      <c r="AT84" s="393" t="e">
        <f t="shared" si="67"/>
        <v>#DIV/0!</v>
      </c>
    </row>
    <row r="85" spans="1:46" s="355" customFormat="1" ht="24.75" customHeight="1" x14ac:dyDescent="0.25">
      <c r="A85" s="398" t="s">
        <v>4299</v>
      </c>
      <c r="B85" s="370"/>
      <c r="C85" s="370"/>
      <c r="D85" s="367"/>
      <c r="E85" s="367"/>
      <c r="F85" s="367"/>
      <c r="G85" s="359"/>
      <c r="H85" s="371"/>
      <c r="I85" s="371"/>
      <c r="J85" s="399"/>
      <c r="K85" s="371"/>
      <c r="L85" s="371"/>
      <c r="M85" s="371"/>
      <c r="N85" s="359"/>
      <c r="O85" s="377"/>
      <c r="P85" s="400"/>
      <c r="Q85" s="403" t="s">
        <v>1911</v>
      </c>
      <c r="R85" s="403" t="s">
        <v>1911</v>
      </c>
      <c r="S85" s="403" t="s">
        <v>1911</v>
      </c>
      <c r="T85" s="403" t="s">
        <v>1911</v>
      </c>
      <c r="U85" s="403" t="s">
        <v>1911</v>
      </c>
      <c r="V85" s="590" t="s">
        <v>1911</v>
      </c>
      <c r="W85" s="590" t="s">
        <v>1911</v>
      </c>
      <c r="X85" s="590" t="s">
        <v>1911</v>
      </c>
      <c r="Y85" s="367" t="s">
        <v>1391</v>
      </c>
      <c r="Z85" s="377"/>
      <c r="AA85" s="377"/>
      <c r="AB85" s="377"/>
      <c r="AC85" s="377"/>
      <c r="AD85" s="377"/>
      <c r="AE85" s="377"/>
      <c r="AF85" s="377"/>
      <c r="AG85" s="377"/>
      <c r="AH85" s="377"/>
      <c r="AI85" s="403" t="s">
        <v>1911</v>
      </c>
      <c r="AJ85" s="401"/>
      <c r="AK85" s="401"/>
      <c r="AL85" s="402"/>
      <c r="AM85" s="402"/>
      <c r="AN85" s="402"/>
      <c r="AO85" s="402"/>
      <c r="AP85" s="402"/>
      <c r="AQ85" s="402"/>
      <c r="AR85" s="402"/>
      <c r="AS85" s="402"/>
      <c r="AT85" s="402"/>
    </row>
    <row r="86" spans="1:46" ht="15.75" customHeight="1" x14ac:dyDescent="0.25">
      <c r="A86" s="362"/>
      <c r="B86" s="375"/>
      <c r="C86" s="375"/>
      <c r="D86" s="396"/>
      <c r="E86" s="396"/>
      <c r="F86" s="396"/>
      <c r="H86" s="363"/>
      <c r="I86" s="363"/>
      <c r="J86" s="383"/>
      <c r="K86" s="363"/>
      <c r="L86" s="363"/>
      <c r="M86" s="363"/>
      <c r="Q86" s="373"/>
      <c r="R86" s="373"/>
      <c r="S86" s="373"/>
      <c r="T86" s="373"/>
      <c r="U86" s="373"/>
      <c r="V86" s="589"/>
      <c r="W86" s="589"/>
      <c r="X86" s="589"/>
    </row>
    <row r="87" spans="1:46" ht="15.75" customHeight="1" x14ac:dyDescent="0.25">
      <c r="A87" s="368"/>
      <c r="B87" s="375"/>
      <c r="C87" s="375"/>
      <c r="D87" s="396"/>
      <c r="E87" s="396"/>
      <c r="F87" s="396"/>
      <c r="H87" s="368"/>
      <c r="I87" s="368"/>
      <c r="J87" s="386"/>
      <c r="K87" s="368"/>
      <c r="L87" s="368"/>
      <c r="M87" s="368"/>
      <c r="Q87" s="373"/>
      <c r="R87" s="373"/>
      <c r="S87" s="373"/>
      <c r="T87" s="373"/>
      <c r="U87" s="373"/>
      <c r="V87" s="589"/>
      <c r="W87" s="589"/>
      <c r="X87" s="589"/>
    </row>
    <row r="88" spans="1:46" ht="15.75" customHeight="1" x14ac:dyDescent="0.25">
      <c r="A88" s="369"/>
      <c r="B88" s="370"/>
      <c r="C88" s="371"/>
      <c r="D88" s="396"/>
      <c r="E88" s="396"/>
      <c r="F88" s="396"/>
      <c r="H88" s="370"/>
      <c r="I88" s="370"/>
      <c r="J88" s="387"/>
      <c r="K88" s="370"/>
      <c r="L88" s="370"/>
      <c r="M88" s="370"/>
      <c r="Q88" s="373"/>
      <c r="R88" s="373"/>
      <c r="S88" s="373"/>
      <c r="T88" s="373"/>
      <c r="U88" s="373"/>
      <c r="V88" s="589"/>
      <c r="W88" s="589"/>
      <c r="X88" s="589"/>
    </row>
    <row r="89" spans="1:46" ht="15.75" customHeight="1" x14ac:dyDescent="0.25">
      <c r="A89" s="369"/>
      <c r="B89" s="370"/>
      <c r="C89" s="371"/>
      <c r="D89" s="364"/>
      <c r="E89" s="364"/>
      <c r="F89" s="364"/>
      <c r="H89" s="370"/>
      <c r="I89" s="370"/>
      <c r="J89" s="387"/>
      <c r="K89" s="370"/>
      <c r="L89" s="370"/>
      <c r="M89" s="370"/>
      <c r="Q89" s="373"/>
      <c r="R89" s="373"/>
      <c r="S89" s="373"/>
      <c r="T89" s="373"/>
      <c r="U89" s="373"/>
      <c r="V89" s="589"/>
      <c r="W89" s="589"/>
      <c r="X89" s="589"/>
    </row>
    <row r="90" spans="1:46" ht="15.75" customHeight="1" x14ac:dyDescent="0.25">
      <c r="A90" s="369"/>
      <c r="B90" s="370"/>
      <c r="C90" s="371"/>
      <c r="D90" s="364"/>
      <c r="E90" s="364"/>
      <c r="F90" s="364"/>
      <c r="H90" s="370"/>
      <c r="I90" s="370"/>
      <c r="J90" s="387"/>
      <c r="K90" s="370"/>
      <c r="L90" s="370"/>
      <c r="M90" s="370"/>
      <c r="Q90" s="373"/>
      <c r="R90" s="373"/>
      <c r="S90" s="373"/>
      <c r="T90" s="373"/>
      <c r="U90" s="373"/>
      <c r="V90" s="589"/>
      <c r="W90" s="589"/>
      <c r="X90" s="589"/>
    </row>
    <row r="91" spans="1:46" ht="15.75" customHeight="1" x14ac:dyDescent="0.25">
      <c r="A91" s="369"/>
      <c r="B91" s="370"/>
      <c r="C91" s="371"/>
      <c r="D91" s="364"/>
      <c r="E91" s="364"/>
      <c r="F91" s="364"/>
      <c r="H91" s="370"/>
      <c r="I91" s="370"/>
      <c r="J91" s="387"/>
      <c r="K91" s="370"/>
      <c r="L91" s="370"/>
      <c r="M91" s="370"/>
      <c r="Q91" s="373"/>
      <c r="R91" s="373"/>
      <c r="S91" s="373"/>
      <c r="T91" s="373"/>
      <c r="U91" s="373"/>
      <c r="V91" s="589"/>
      <c r="W91" s="589"/>
      <c r="X91" s="589"/>
    </row>
    <row r="92" spans="1:46" ht="15.75" customHeight="1" x14ac:dyDescent="0.25">
      <c r="A92" s="369"/>
      <c r="B92" s="370"/>
      <c r="C92" s="371"/>
      <c r="D92" s="364"/>
      <c r="E92" s="364"/>
      <c r="F92" s="364"/>
      <c r="H92" s="370"/>
      <c r="I92" s="370"/>
      <c r="J92" s="387"/>
      <c r="K92" s="370"/>
      <c r="L92" s="370"/>
      <c r="M92" s="370"/>
    </row>
    <row r="93" spans="1:46" ht="15.75" customHeight="1" x14ac:dyDescent="0.25">
      <c r="A93" s="369"/>
      <c r="B93" s="370"/>
      <c r="C93" s="371"/>
      <c r="D93" s="364"/>
      <c r="E93" s="364"/>
      <c r="F93" s="364"/>
      <c r="H93" s="370"/>
      <c r="I93" s="370"/>
      <c r="J93" s="387"/>
      <c r="K93" s="370"/>
      <c r="L93" s="370"/>
      <c r="M93" s="370"/>
    </row>
    <row r="94" spans="1:46" ht="15.75" customHeight="1" x14ac:dyDescent="0.25">
      <c r="A94" s="369"/>
      <c r="B94" s="370"/>
      <c r="C94" s="371"/>
      <c r="D94" s="364"/>
      <c r="E94" s="364"/>
      <c r="F94" s="364"/>
      <c r="H94" s="370"/>
      <c r="I94" s="370"/>
      <c r="J94" s="387"/>
      <c r="K94" s="370"/>
      <c r="L94" s="370"/>
      <c r="M94" s="370"/>
    </row>
    <row r="95" spans="1:46" ht="15.75" customHeight="1" x14ac:dyDescent="0.25">
      <c r="A95" s="369"/>
      <c r="B95" s="370"/>
      <c r="C95" s="371"/>
      <c r="D95" s="364"/>
      <c r="E95" s="364"/>
      <c r="F95" s="364"/>
      <c r="H95" s="370"/>
      <c r="I95" s="370"/>
      <c r="J95" s="387"/>
      <c r="K95" s="370"/>
      <c r="L95" s="370"/>
      <c r="M95" s="370"/>
    </row>
    <row r="96" spans="1:46" ht="15.75" customHeight="1" x14ac:dyDescent="0.25">
      <c r="A96" s="369"/>
      <c r="B96" s="370"/>
      <c r="C96" s="371"/>
      <c r="D96" s="364"/>
      <c r="E96" s="364"/>
      <c r="F96" s="364"/>
      <c r="H96" s="370"/>
      <c r="I96" s="370"/>
      <c r="J96" s="387"/>
      <c r="K96" s="370"/>
      <c r="L96" s="370"/>
      <c r="M96" s="370"/>
    </row>
    <row r="97" spans="1:13" ht="15.75" customHeight="1" x14ac:dyDescent="0.25">
      <c r="A97" s="369"/>
      <c r="B97" s="370"/>
      <c r="C97" s="371"/>
      <c r="D97" s="364"/>
      <c r="E97" s="364"/>
      <c r="F97" s="364"/>
      <c r="H97" s="370"/>
      <c r="I97" s="370"/>
      <c r="J97" s="387"/>
      <c r="K97" s="370"/>
      <c r="L97" s="370"/>
      <c r="M97" s="370"/>
    </row>
    <row r="98" spans="1:13" ht="15.75" customHeight="1" x14ac:dyDescent="0.25">
      <c r="A98" s="369"/>
      <c r="B98" s="370"/>
      <c r="C98" s="371"/>
      <c r="D98" s="364"/>
      <c r="E98" s="364"/>
      <c r="F98" s="364"/>
      <c r="H98" s="370"/>
      <c r="I98" s="370"/>
      <c r="J98" s="387"/>
      <c r="K98" s="370"/>
      <c r="L98" s="370"/>
      <c r="M98" s="370"/>
    </row>
    <row r="99" spans="1:13" ht="15.75" customHeight="1" x14ac:dyDescent="0.25">
      <c r="A99" s="369"/>
      <c r="B99" s="370"/>
      <c r="C99" s="371"/>
      <c r="D99" s="364"/>
      <c r="E99" s="364"/>
      <c r="F99" s="364"/>
      <c r="H99" s="370"/>
      <c r="I99" s="370"/>
      <c r="J99" s="387"/>
      <c r="K99" s="370"/>
      <c r="L99" s="370"/>
      <c r="M99" s="370"/>
    </row>
    <row r="100" spans="1:13" ht="15.75" customHeight="1" x14ac:dyDescent="0.25">
      <c r="A100" s="369"/>
      <c r="B100" s="370"/>
      <c r="C100" s="371"/>
      <c r="D100" s="364"/>
      <c r="E100" s="364"/>
      <c r="F100" s="364"/>
      <c r="H100" s="370"/>
      <c r="I100" s="370"/>
      <c r="J100" s="387"/>
      <c r="K100" s="370"/>
      <c r="L100" s="370"/>
      <c r="M100" s="370"/>
    </row>
    <row r="101" spans="1:13" ht="15.75" customHeight="1" x14ac:dyDescent="0.25">
      <c r="A101" s="369"/>
      <c r="B101" s="370"/>
      <c r="C101" s="371"/>
      <c r="D101" s="364"/>
      <c r="E101" s="364"/>
      <c r="F101" s="364"/>
      <c r="H101" s="370"/>
      <c r="I101" s="370"/>
      <c r="J101" s="387"/>
      <c r="K101" s="370"/>
      <c r="L101" s="370"/>
      <c r="M101" s="370"/>
    </row>
    <row r="102" spans="1:13" ht="15.75" customHeight="1" x14ac:dyDescent="0.25">
      <c r="A102" s="369"/>
      <c r="B102" s="370"/>
      <c r="C102" s="371"/>
      <c r="D102" s="364"/>
      <c r="E102" s="364"/>
      <c r="F102" s="364"/>
      <c r="H102" s="370"/>
      <c r="I102" s="370"/>
      <c r="J102" s="387"/>
      <c r="K102" s="370"/>
      <c r="L102" s="370"/>
      <c r="M102" s="370"/>
    </row>
    <row r="103" spans="1:13" ht="15.75" customHeight="1" x14ac:dyDescent="0.25">
      <c r="A103" s="369"/>
      <c r="B103" s="370"/>
      <c r="C103" s="371"/>
      <c r="D103" s="364"/>
      <c r="E103" s="364"/>
      <c r="F103" s="364"/>
      <c r="H103" s="370"/>
      <c r="I103" s="370"/>
      <c r="J103" s="387"/>
      <c r="K103" s="370"/>
      <c r="L103" s="370"/>
      <c r="M103" s="370"/>
    </row>
    <row r="104" spans="1:13" ht="15.75" customHeight="1" x14ac:dyDescent="0.25">
      <c r="A104" s="369"/>
      <c r="B104" s="370"/>
      <c r="C104" s="371"/>
      <c r="D104" s="364"/>
      <c r="E104" s="364"/>
      <c r="F104" s="364"/>
      <c r="H104" s="370"/>
      <c r="I104" s="370"/>
      <c r="J104" s="387"/>
      <c r="K104" s="370"/>
      <c r="L104" s="370"/>
      <c r="M104" s="370"/>
    </row>
    <row r="105" spans="1:13" ht="15.75" customHeight="1" x14ac:dyDescent="0.25">
      <c r="A105" s="369"/>
      <c r="B105" s="370"/>
      <c r="C105" s="371"/>
      <c r="D105" s="364"/>
      <c r="E105" s="364"/>
      <c r="F105" s="364"/>
      <c r="H105" s="370"/>
      <c r="I105" s="370"/>
      <c r="J105" s="387"/>
      <c r="K105" s="370"/>
      <c r="L105" s="370"/>
      <c r="M105" s="370"/>
    </row>
    <row r="106" spans="1:13" ht="15.75" customHeight="1" x14ac:dyDescent="0.25">
      <c r="A106" s="369"/>
      <c r="B106" s="370"/>
      <c r="C106" s="371"/>
      <c r="D106" s="364"/>
      <c r="E106" s="364"/>
      <c r="F106" s="364"/>
      <c r="H106" s="370"/>
      <c r="I106" s="370"/>
      <c r="J106" s="387"/>
      <c r="K106" s="370"/>
      <c r="L106" s="370"/>
      <c r="M106" s="370"/>
    </row>
    <row r="107" spans="1:13" ht="15.75" customHeight="1" x14ac:dyDescent="0.25">
      <c r="A107" s="369"/>
      <c r="B107" s="370"/>
      <c r="C107" s="371"/>
      <c r="D107" s="364"/>
      <c r="E107" s="364"/>
      <c r="F107" s="364"/>
      <c r="H107" s="370"/>
      <c r="I107" s="370"/>
      <c r="J107" s="387"/>
      <c r="K107" s="370"/>
      <c r="L107" s="370"/>
      <c r="M107" s="370"/>
    </row>
    <row r="108" spans="1:13" ht="15.75" customHeight="1" x14ac:dyDescent="0.25">
      <c r="A108" s="369"/>
      <c r="B108" s="370"/>
      <c r="C108" s="371"/>
      <c r="D108" s="364"/>
      <c r="E108" s="364"/>
      <c r="F108" s="364"/>
      <c r="H108" s="370"/>
      <c r="I108" s="370"/>
      <c r="J108" s="387"/>
      <c r="K108" s="370"/>
      <c r="L108" s="370"/>
      <c r="M108" s="370"/>
    </row>
    <row r="109" spans="1:13" ht="15.75" customHeight="1" x14ac:dyDescent="0.25">
      <c r="A109" s="369"/>
      <c r="B109" s="370"/>
      <c r="C109" s="371"/>
      <c r="D109" s="364"/>
      <c r="E109" s="364"/>
      <c r="F109" s="364"/>
      <c r="H109" s="370"/>
      <c r="I109" s="370"/>
      <c r="J109" s="387"/>
      <c r="K109" s="370"/>
      <c r="L109" s="370"/>
      <c r="M109" s="370"/>
    </row>
    <row r="110" spans="1:13" ht="15.75" customHeight="1" x14ac:dyDescent="0.25">
      <c r="A110" s="369"/>
      <c r="B110" s="370"/>
      <c r="C110" s="371"/>
      <c r="D110" s="364"/>
      <c r="E110" s="364"/>
      <c r="F110" s="364"/>
      <c r="H110" s="370"/>
      <c r="I110" s="370"/>
      <c r="J110" s="387"/>
      <c r="K110" s="370"/>
      <c r="L110" s="370"/>
      <c r="M110" s="370"/>
    </row>
    <row r="111" spans="1:13" ht="15.75" customHeight="1" x14ac:dyDescent="0.25">
      <c r="A111" s="369"/>
      <c r="B111" s="370"/>
      <c r="C111" s="371"/>
      <c r="D111" s="364"/>
      <c r="E111" s="364"/>
      <c r="F111" s="364"/>
      <c r="H111" s="370"/>
      <c r="I111" s="370"/>
      <c r="J111" s="387"/>
      <c r="K111" s="370"/>
      <c r="L111" s="370"/>
      <c r="M111" s="370"/>
    </row>
    <row r="112" spans="1:13" ht="15.75" customHeight="1" x14ac:dyDescent="0.25">
      <c r="A112" s="369"/>
      <c r="B112" s="370"/>
      <c r="C112" s="371"/>
      <c r="D112" s="364"/>
      <c r="E112" s="364"/>
      <c r="F112" s="364"/>
      <c r="H112" s="370"/>
      <c r="I112" s="370"/>
      <c r="J112" s="387"/>
      <c r="K112" s="370"/>
      <c r="L112" s="370"/>
      <c r="M112" s="370"/>
    </row>
    <row r="113" spans="1:13" ht="15.75" customHeight="1" x14ac:dyDescent="0.25">
      <c r="A113" s="369"/>
      <c r="B113" s="370"/>
      <c r="C113" s="371"/>
      <c r="D113" s="364"/>
      <c r="E113" s="364"/>
      <c r="F113" s="364"/>
      <c r="H113" s="370"/>
      <c r="I113" s="370"/>
      <c r="J113" s="387"/>
      <c r="K113" s="370"/>
      <c r="L113" s="370"/>
      <c r="M113" s="370"/>
    </row>
    <row r="114" spans="1:13" ht="15.75" customHeight="1" x14ac:dyDescent="0.25">
      <c r="A114" s="369"/>
      <c r="B114" s="370"/>
      <c r="C114" s="371"/>
      <c r="D114" s="364"/>
      <c r="E114" s="364"/>
      <c r="F114" s="364"/>
      <c r="H114" s="370"/>
      <c r="I114" s="370"/>
      <c r="J114" s="387"/>
      <c r="K114" s="370"/>
      <c r="L114" s="370"/>
      <c r="M114" s="370"/>
    </row>
    <row r="115" spans="1:13" ht="15.75" customHeight="1" x14ac:dyDescent="0.25">
      <c r="A115" s="369"/>
      <c r="B115" s="370"/>
      <c r="C115" s="371"/>
      <c r="D115" s="364"/>
      <c r="E115" s="364"/>
      <c r="F115" s="364"/>
      <c r="H115" s="370"/>
      <c r="I115" s="370"/>
      <c r="J115" s="387"/>
      <c r="K115" s="370"/>
      <c r="L115" s="370"/>
      <c r="M115" s="370"/>
    </row>
    <row r="116" spans="1:13" ht="15.75" customHeight="1" x14ac:dyDescent="0.25">
      <c r="C116" s="373"/>
      <c r="D116" s="364"/>
      <c r="E116" s="364"/>
      <c r="F116" s="364"/>
    </row>
  </sheetData>
  <sortState xmlns:xlrd2="http://schemas.microsoft.com/office/spreadsheetml/2017/richdata2" ref="A5:AT84">
    <sortCondition ref="AT5:AT84"/>
  </sortState>
  <phoneticPr fontId="10" type="noConversion"/>
  <printOptions horizontalCentered="1"/>
  <pageMargins left="0" right="0" top="0" bottom="0" header="0" footer="0"/>
  <pageSetup paperSize="9" scale="6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06"/>
  <sheetViews>
    <sheetView workbookViewId="0">
      <selection activeCell="A30" sqref="A30:I30"/>
    </sheetView>
  </sheetViews>
  <sheetFormatPr defaultColWidth="8" defaultRowHeight="13.2" x14ac:dyDescent="0.25"/>
  <cols>
    <col min="1" max="1" width="10.33203125" style="191" bestFit="1" customWidth="1"/>
    <col min="2" max="2" width="28.21875" style="191" customWidth="1"/>
    <col min="3" max="3" width="2.77734375" style="191" customWidth="1"/>
    <col min="4" max="4" width="24.44140625" style="191" customWidth="1"/>
    <col min="5" max="5" width="2.33203125" style="191" customWidth="1"/>
    <col min="6" max="6" width="25.21875" style="191" customWidth="1"/>
    <col min="7" max="7" width="1.77734375" style="191" customWidth="1"/>
    <col min="8" max="16384" width="8" style="192"/>
  </cols>
  <sheetData>
    <row r="1" spans="1:8" ht="15.6" x14ac:dyDescent="0.3">
      <c r="A1" s="190" t="s">
        <v>2538</v>
      </c>
      <c r="B1" s="193" t="s">
        <v>4300</v>
      </c>
      <c r="C1" s="594"/>
    </row>
    <row r="2" spans="1:8" x14ac:dyDescent="0.25">
      <c r="A2" s="592" t="s">
        <v>4513</v>
      </c>
      <c r="B2" s="698"/>
      <c r="C2" s="698"/>
      <c r="D2" s="698"/>
      <c r="E2" s="698"/>
      <c r="F2" s="698"/>
    </row>
    <row r="3" spans="1:8" s="191" customFormat="1" x14ac:dyDescent="0.25">
      <c r="A3" s="193" t="s">
        <v>2539</v>
      </c>
      <c r="B3" s="193" t="s">
        <v>3737</v>
      </c>
      <c r="C3" s="594"/>
      <c r="D3" s="193" t="s">
        <v>3738</v>
      </c>
      <c r="E3" s="594"/>
      <c r="F3" s="193" t="s">
        <v>3739</v>
      </c>
    </row>
    <row r="4" spans="1:8" s="191" customFormat="1" x14ac:dyDescent="0.25">
      <c r="B4" s="193"/>
      <c r="C4" s="594"/>
      <c r="D4" s="193"/>
      <c r="E4" s="594"/>
      <c r="F4" s="193"/>
    </row>
    <row r="5" spans="1:8" s="191" customFormat="1" x14ac:dyDescent="0.25">
      <c r="A5" s="191">
        <v>1995</v>
      </c>
      <c r="B5" s="279" t="s">
        <v>3098</v>
      </c>
      <c r="C5" s="279"/>
      <c r="D5" s="279" t="s">
        <v>3946</v>
      </c>
      <c r="E5" s="279"/>
      <c r="F5" s="279" t="s">
        <v>1871</v>
      </c>
    </row>
    <row r="6" spans="1:8" s="191" customFormat="1" x14ac:dyDescent="0.25">
      <c r="A6" s="191">
        <v>1996</v>
      </c>
      <c r="B6" s="279" t="s">
        <v>3107</v>
      </c>
      <c r="C6" s="279"/>
      <c r="D6" s="279" t="s">
        <v>3110</v>
      </c>
      <c r="E6" s="279"/>
      <c r="F6" s="279" t="s">
        <v>3670</v>
      </c>
    </row>
    <row r="7" spans="1:8" s="191" customFormat="1" x14ac:dyDescent="0.25">
      <c r="A7" s="191">
        <v>1997</v>
      </c>
      <c r="B7" s="279" t="s">
        <v>1871</v>
      </c>
      <c r="C7" s="279"/>
      <c r="D7" s="279" t="s">
        <v>3112</v>
      </c>
      <c r="E7" s="279"/>
      <c r="F7" s="279" t="s">
        <v>399</v>
      </c>
    </row>
    <row r="8" spans="1:8" s="191" customFormat="1" x14ac:dyDescent="0.25">
      <c r="A8" s="191">
        <v>1998</v>
      </c>
      <c r="B8" s="279" t="s">
        <v>3098</v>
      </c>
      <c r="C8" s="279"/>
      <c r="D8" s="279" t="s">
        <v>2243</v>
      </c>
      <c r="E8" s="279"/>
      <c r="F8" s="279" t="s">
        <v>2145</v>
      </c>
    </row>
    <row r="9" spans="1:8" s="191" customFormat="1" x14ac:dyDescent="0.25">
      <c r="A9" s="191">
        <v>1999</v>
      </c>
      <c r="B9" s="279" t="s">
        <v>2137</v>
      </c>
      <c r="C9" s="279"/>
      <c r="D9" s="279" t="s">
        <v>2253</v>
      </c>
      <c r="E9" s="279"/>
      <c r="F9" s="279" t="s">
        <v>815</v>
      </c>
    </row>
    <row r="10" spans="1:8" x14ac:dyDescent="0.25">
      <c r="A10" s="191">
        <v>2000</v>
      </c>
      <c r="B10" s="279" t="s">
        <v>2356</v>
      </c>
      <c r="C10" s="279"/>
      <c r="D10" s="279" t="s">
        <v>3589</v>
      </c>
      <c r="E10" s="279"/>
      <c r="F10" s="279" t="s">
        <v>1040</v>
      </c>
      <c r="G10" s="193"/>
      <c r="H10" s="191"/>
    </row>
    <row r="11" spans="1:8" x14ac:dyDescent="0.25">
      <c r="A11" s="191">
        <v>2001</v>
      </c>
      <c r="B11" s="279" t="s">
        <v>3098</v>
      </c>
      <c r="C11" s="279"/>
      <c r="D11" s="279" t="s">
        <v>3578</v>
      </c>
      <c r="E11" s="279"/>
      <c r="F11" s="279" t="s">
        <v>2244</v>
      </c>
      <c r="H11" s="191"/>
    </row>
    <row r="12" spans="1:8" x14ac:dyDescent="0.25">
      <c r="A12" s="191">
        <v>2002</v>
      </c>
      <c r="B12" s="279" t="s">
        <v>2644</v>
      </c>
      <c r="C12" s="279"/>
      <c r="D12" s="279" t="s">
        <v>2356</v>
      </c>
      <c r="E12" s="279"/>
      <c r="F12" s="279" t="s">
        <v>2244</v>
      </c>
      <c r="H12" s="191"/>
    </row>
    <row r="13" spans="1:8" x14ac:dyDescent="0.25">
      <c r="A13" s="191">
        <v>2003</v>
      </c>
      <c r="B13" s="279" t="s">
        <v>3311</v>
      </c>
      <c r="C13" s="279"/>
      <c r="D13" s="279" t="s">
        <v>1041</v>
      </c>
      <c r="E13" s="279"/>
      <c r="F13" s="279" t="s">
        <v>3589</v>
      </c>
      <c r="H13" s="191"/>
    </row>
    <row r="14" spans="1:8" x14ac:dyDescent="0.25">
      <c r="A14" s="191">
        <v>2004</v>
      </c>
      <c r="B14" s="279" t="s">
        <v>621</v>
      </c>
      <c r="C14" s="279"/>
      <c r="D14" s="279" t="s">
        <v>3583</v>
      </c>
      <c r="E14" s="279"/>
      <c r="F14" s="279" t="s">
        <v>3308</v>
      </c>
      <c r="H14" s="191"/>
    </row>
    <row r="15" spans="1:8" x14ac:dyDescent="0.25">
      <c r="A15" s="191">
        <v>2005</v>
      </c>
      <c r="B15" s="279" t="s">
        <v>3583</v>
      </c>
      <c r="C15" s="279"/>
      <c r="D15" s="279" t="s">
        <v>821</v>
      </c>
      <c r="E15" s="279"/>
      <c r="F15" s="279" t="s">
        <v>3311</v>
      </c>
      <c r="H15" s="191"/>
    </row>
    <row r="16" spans="1:8" x14ac:dyDescent="0.25">
      <c r="A16" s="191">
        <v>2006</v>
      </c>
      <c r="B16" s="279" t="s">
        <v>3592</v>
      </c>
      <c r="C16" s="279"/>
      <c r="D16" s="279" t="s">
        <v>3584</v>
      </c>
      <c r="E16" s="279"/>
      <c r="F16" s="279" t="s">
        <v>2373</v>
      </c>
      <c r="H16" s="191"/>
    </row>
    <row r="17" spans="1:8" x14ac:dyDescent="0.25">
      <c r="A17" s="191">
        <v>2007</v>
      </c>
      <c r="B17" s="279" t="s">
        <v>413</v>
      </c>
      <c r="C17" s="279"/>
      <c r="D17" s="279" t="s">
        <v>3308</v>
      </c>
      <c r="E17" s="279"/>
      <c r="F17" s="279" t="s">
        <v>2373</v>
      </c>
      <c r="H17" s="191"/>
    </row>
    <row r="18" spans="1:8" x14ac:dyDescent="0.25">
      <c r="A18" s="191">
        <v>2008</v>
      </c>
      <c r="B18" s="279" t="s">
        <v>1557</v>
      </c>
      <c r="C18" s="279"/>
      <c r="D18" s="279" t="s">
        <v>821</v>
      </c>
      <c r="E18" s="279"/>
      <c r="F18" s="279" t="s">
        <v>3338</v>
      </c>
      <c r="H18" s="191"/>
    </row>
    <row r="19" spans="1:8" x14ac:dyDescent="0.25">
      <c r="A19" s="191">
        <v>2009</v>
      </c>
      <c r="B19" s="279" t="s">
        <v>1568</v>
      </c>
      <c r="C19" s="279"/>
      <c r="D19" s="279" t="s">
        <v>1564</v>
      </c>
      <c r="E19" s="279"/>
      <c r="F19" s="279" t="s">
        <v>412</v>
      </c>
      <c r="H19" s="191"/>
    </row>
    <row r="20" spans="1:8" x14ac:dyDescent="0.25">
      <c r="A20" s="191">
        <v>2010</v>
      </c>
      <c r="B20" s="279" t="s">
        <v>1582</v>
      </c>
      <c r="C20" s="279"/>
      <c r="D20" s="279" t="s">
        <v>1568</v>
      </c>
      <c r="E20" s="279"/>
      <c r="F20" s="279" t="s">
        <v>1794</v>
      </c>
      <c r="G20" s="193"/>
      <c r="H20" s="191"/>
    </row>
    <row r="21" spans="1:8" x14ac:dyDescent="0.25">
      <c r="A21" s="191">
        <v>2011</v>
      </c>
      <c r="B21" s="279" t="s">
        <v>349</v>
      </c>
      <c r="C21" s="279"/>
      <c r="D21" s="279" t="s">
        <v>1592</v>
      </c>
      <c r="E21" s="279"/>
      <c r="F21" s="279" t="s">
        <v>1586</v>
      </c>
      <c r="H21" s="191"/>
    </row>
    <row r="22" spans="1:8" x14ac:dyDescent="0.25">
      <c r="A22" s="191">
        <v>2012</v>
      </c>
      <c r="B22" s="279" t="s">
        <v>1287</v>
      </c>
      <c r="C22" s="279"/>
      <c r="D22" s="279" t="s">
        <v>1594</v>
      </c>
      <c r="E22" s="279"/>
      <c r="F22" s="279" t="s">
        <v>4011</v>
      </c>
      <c r="H22" s="191"/>
    </row>
    <row r="23" spans="1:8" x14ac:dyDescent="0.25">
      <c r="A23" s="191">
        <v>2013</v>
      </c>
      <c r="B23" s="279" t="s">
        <v>1214</v>
      </c>
      <c r="C23" s="279"/>
      <c r="D23" s="279" t="s">
        <v>4011</v>
      </c>
      <c r="E23" s="279"/>
      <c r="F23" s="279" t="s">
        <v>532</v>
      </c>
      <c r="H23" s="191"/>
    </row>
    <row r="24" spans="1:8" x14ac:dyDescent="0.25">
      <c r="A24" s="191">
        <v>2014</v>
      </c>
      <c r="B24" s="279" t="s">
        <v>821</v>
      </c>
      <c r="C24" s="279"/>
      <c r="D24" s="279" t="s">
        <v>2699</v>
      </c>
      <c r="E24" s="279"/>
      <c r="F24" s="279" t="s">
        <v>52</v>
      </c>
      <c r="H24" s="191"/>
    </row>
    <row r="25" spans="1:8" x14ac:dyDescent="0.25">
      <c r="A25" s="191">
        <v>2015</v>
      </c>
      <c r="B25" s="191" t="s">
        <v>598</v>
      </c>
      <c r="D25" s="191" t="s">
        <v>2865</v>
      </c>
      <c r="F25" s="191" t="s">
        <v>2873</v>
      </c>
      <c r="H25" s="191"/>
    </row>
    <row r="26" spans="1:8" x14ac:dyDescent="0.25">
      <c r="A26" s="191">
        <v>2016</v>
      </c>
      <c r="B26" s="279" t="s">
        <v>987</v>
      </c>
      <c r="C26" s="279"/>
      <c r="D26" s="279" t="s">
        <v>2867</v>
      </c>
      <c r="E26" s="279"/>
      <c r="F26" s="279" t="s">
        <v>908</v>
      </c>
      <c r="H26" s="191"/>
    </row>
    <row r="27" spans="1:8" x14ac:dyDescent="0.25">
      <c r="A27" s="191">
        <v>2017</v>
      </c>
      <c r="B27" s="279" t="s">
        <v>987</v>
      </c>
      <c r="C27" s="279"/>
      <c r="D27" s="191" t="s">
        <v>946</v>
      </c>
      <c r="F27" s="191" t="s">
        <v>1092</v>
      </c>
      <c r="H27" s="191"/>
    </row>
    <row r="28" spans="1:8" x14ac:dyDescent="0.25">
      <c r="A28" s="191">
        <v>2018</v>
      </c>
      <c r="B28" s="279" t="s">
        <v>4465</v>
      </c>
      <c r="C28" s="279"/>
      <c r="D28" s="191" t="s">
        <v>1103</v>
      </c>
      <c r="F28" s="191" t="s">
        <v>978</v>
      </c>
      <c r="H28" s="191"/>
    </row>
    <row r="29" spans="1:8" x14ac:dyDescent="0.25">
      <c r="A29" s="191">
        <v>2019</v>
      </c>
      <c r="B29" s="279" t="s">
        <v>4540</v>
      </c>
      <c r="C29" s="279"/>
      <c r="D29" s="191" t="s">
        <v>978</v>
      </c>
      <c r="F29" s="191" t="s">
        <v>1142</v>
      </c>
      <c r="H29" s="191"/>
    </row>
    <row r="30" spans="1:8" x14ac:dyDescent="0.25">
      <c r="B30" s="279"/>
      <c r="C30" s="279"/>
      <c r="H30" s="191"/>
    </row>
    <row r="31" spans="1:8" x14ac:dyDescent="0.25">
      <c r="B31" s="279"/>
      <c r="C31" s="279"/>
      <c r="H31" s="191"/>
    </row>
    <row r="32" spans="1:8" x14ac:dyDescent="0.25">
      <c r="B32" s="279"/>
      <c r="C32" s="279"/>
      <c r="H32" s="191"/>
    </row>
    <row r="33" spans="1:8" x14ac:dyDescent="0.25">
      <c r="B33" s="279"/>
      <c r="C33" s="279"/>
      <c r="H33" s="191"/>
    </row>
    <row r="34" spans="1:8" x14ac:dyDescent="0.25">
      <c r="B34" s="594" t="s">
        <v>4569</v>
      </c>
      <c r="C34" s="279"/>
      <c r="D34" s="594"/>
      <c r="H34" s="191"/>
    </row>
    <row r="35" spans="1:8" x14ac:dyDescent="0.25">
      <c r="A35" s="595" t="s">
        <v>4568</v>
      </c>
      <c r="B35" s="595" t="s">
        <v>3737</v>
      </c>
      <c r="C35" s="595"/>
      <c r="D35" s="595" t="s">
        <v>3738</v>
      </c>
      <c r="E35" s="595"/>
      <c r="F35" s="595" t="s">
        <v>3739</v>
      </c>
      <c r="G35" s="596"/>
      <c r="H35" s="596"/>
    </row>
    <row r="36" spans="1:8" x14ac:dyDescent="0.25">
      <c r="A36" s="597">
        <v>1</v>
      </c>
      <c r="B36" s="603" t="s">
        <v>3098</v>
      </c>
      <c r="C36" s="604">
        <v>3</v>
      </c>
      <c r="D36" s="597" t="str">
        <f t="shared" ref="D36:D67" si="0">+B36</f>
        <v>Chordite</v>
      </c>
      <c r="E36" s="598"/>
      <c r="F36" s="597" t="str">
        <f t="shared" ref="F36:F67" si="1">+B36</f>
        <v>Chordite</v>
      </c>
      <c r="G36" s="598"/>
      <c r="H36" s="598">
        <v>1</v>
      </c>
    </row>
    <row r="37" spans="1:8" x14ac:dyDescent="0.25">
      <c r="A37" s="599">
        <v>2</v>
      </c>
      <c r="B37" s="605" t="s">
        <v>987</v>
      </c>
      <c r="C37" s="606">
        <v>2</v>
      </c>
      <c r="D37" s="599" t="str">
        <f t="shared" si="0"/>
        <v>Tonic</v>
      </c>
      <c r="E37" s="600"/>
      <c r="F37" s="599" t="str">
        <f t="shared" si="1"/>
        <v>Tonic</v>
      </c>
      <c r="G37" s="600"/>
      <c r="H37" s="600">
        <v>2</v>
      </c>
    </row>
    <row r="38" spans="1:8" x14ac:dyDescent="0.25">
      <c r="A38" s="599">
        <v>3</v>
      </c>
      <c r="B38" s="605" t="s">
        <v>821</v>
      </c>
      <c r="C38" s="606">
        <v>1</v>
      </c>
      <c r="D38" s="599" t="str">
        <f t="shared" si="0"/>
        <v>Figaro</v>
      </c>
      <c r="E38" s="600">
        <v>2</v>
      </c>
      <c r="F38" s="599" t="str">
        <f t="shared" si="1"/>
        <v>Figaro</v>
      </c>
      <c r="G38" s="600"/>
      <c r="H38" s="600">
        <v>3</v>
      </c>
    </row>
    <row r="39" spans="1:8" x14ac:dyDescent="0.25">
      <c r="A39" s="599" t="s">
        <v>4562</v>
      </c>
      <c r="B39" s="605" t="s">
        <v>1568</v>
      </c>
      <c r="C39" s="606">
        <v>1</v>
      </c>
      <c r="D39" s="599" t="str">
        <f t="shared" si="0"/>
        <v>Quadrahedron</v>
      </c>
      <c r="E39" s="606">
        <v>1</v>
      </c>
      <c r="F39" s="599" t="str">
        <f t="shared" si="1"/>
        <v>Quadrahedron</v>
      </c>
      <c r="G39" s="600"/>
      <c r="H39" s="600">
        <v>4</v>
      </c>
    </row>
    <row r="40" spans="1:8" x14ac:dyDescent="0.25">
      <c r="A40" s="599" t="s">
        <v>4562</v>
      </c>
      <c r="B40" s="605" t="s">
        <v>3583</v>
      </c>
      <c r="C40" s="606">
        <v>1</v>
      </c>
      <c r="D40" s="599" t="str">
        <f t="shared" si="0"/>
        <v>Retro</v>
      </c>
      <c r="E40" s="606">
        <v>1</v>
      </c>
      <c r="F40" s="599" t="str">
        <f t="shared" si="1"/>
        <v>Retro</v>
      </c>
      <c r="G40" s="600"/>
      <c r="H40" s="600">
        <v>5</v>
      </c>
    </row>
    <row r="41" spans="1:8" x14ac:dyDescent="0.25">
      <c r="A41" s="599" t="s">
        <v>4562</v>
      </c>
      <c r="B41" s="605" t="s">
        <v>2356</v>
      </c>
      <c r="C41" s="606">
        <v>1</v>
      </c>
      <c r="D41" s="599" t="str">
        <f t="shared" si="0"/>
        <v>Speculation</v>
      </c>
      <c r="E41" s="606">
        <v>1</v>
      </c>
      <c r="F41" s="599" t="str">
        <f t="shared" si="1"/>
        <v>Speculation</v>
      </c>
      <c r="G41" s="600"/>
      <c r="H41" s="600">
        <v>6</v>
      </c>
    </row>
    <row r="42" spans="1:8" x14ac:dyDescent="0.25">
      <c r="A42" s="599" t="s">
        <v>4563</v>
      </c>
      <c r="B42" s="605" t="s">
        <v>349</v>
      </c>
      <c r="C42" s="606">
        <v>1</v>
      </c>
      <c r="D42" s="599" t="str">
        <f t="shared" si="0"/>
        <v>4getmenots</v>
      </c>
      <c r="E42" s="600"/>
      <c r="F42" s="599" t="str">
        <f t="shared" si="1"/>
        <v>4getmenots</v>
      </c>
      <c r="G42" s="600"/>
      <c r="H42" s="600">
        <v>7</v>
      </c>
    </row>
    <row r="43" spans="1:8" x14ac:dyDescent="0.25">
      <c r="A43" s="599" t="s">
        <v>4563</v>
      </c>
      <c r="B43" s="605" t="s">
        <v>621</v>
      </c>
      <c r="C43" s="606">
        <v>1</v>
      </c>
      <c r="D43" s="599" t="str">
        <f t="shared" si="0"/>
        <v>A Cappella Fellas</v>
      </c>
      <c r="E43" s="600"/>
      <c r="F43" s="599" t="str">
        <f t="shared" si="1"/>
        <v>A Cappella Fellas</v>
      </c>
      <c r="G43" s="600"/>
      <c r="H43" s="600">
        <v>8</v>
      </c>
    </row>
    <row r="44" spans="1:8" x14ac:dyDescent="0.25">
      <c r="A44" s="599" t="s">
        <v>4563</v>
      </c>
      <c r="B44" s="605" t="s">
        <v>1557</v>
      </c>
      <c r="C44" s="606">
        <v>1</v>
      </c>
      <c r="D44" s="599" t="str">
        <f t="shared" si="0"/>
        <v>Abacus</v>
      </c>
      <c r="E44" s="600"/>
      <c r="F44" s="599" t="str">
        <f t="shared" si="1"/>
        <v>Abacus</v>
      </c>
      <c r="G44" s="600"/>
      <c r="H44" s="600">
        <v>9</v>
      </c>
    </row>
    <row r="45" spans="1:8" x14ac:dyDescent="0.25">
      <c r="A45" s="599" t="s">
        <v>4563</v>
      </c>
      <c r="B45" s="605" t="s">
        <v>2137</v>
      </c>
      <c r="C45" s="606">
        <v>1</v>
      </c>
      <c r="D45" s="599" t="str">
        <f t="shared" si="0"/>
        <v>Flying High</v>
      </c>
      <c r="E45" s="600"/>
      <c r="F45" s="599" t="str">
        <f t="shared" si="1"/>
        <v>Flying High</v>
      </c>
      <c r="G45" s="600"/>
      <c r="H45" s="600">
        <v>10</v>
      </c>
    </row>
    <row r="46" spans="1:8" x14ac:dyDescent="0.25">
      <c r="A46" s="599" t="s">
        <v>4563</v>
      </c>
      <c r="B46" s="605" t="s">
        <v>413</v>
      </c>
      <c r="C46" s="606">
        <v>1</v>
      </c>
      <c r="D46" s="599" t="str">
        <f t="shared" si="0"/>
        <v>Four Blokes Singing</v>
      </c>
      <c r="E46" s="600"/>
      <c r="F46" s="599" t="str">
        <f t="shared" si="1"/>
        <v>Four Blokes Singing</v>
      </c>
      <c r="G46" s="600"/>
      <c r="H46" s="600">
        <v>11</v>
      </c>
    </row>
    <row r="47" spans="1:8" x14ac:dyDescent="0.25">
      <c r="A47" s="599" t="s">
        <v>4563</v>
      </c>
      <c r="B47" s="605" t="s">
        <v>3311</v>
      </c>
      <c r="C47" s="606">
        <v>1</v>
      </c>
      <c r="D47" s="599" t="str">
        <f t="shared" si="0"/>
        <v>Fourtune</v>
      </c>
      <c r="E47" s="600"/>
      <c r="F47" s="599" t="str">
        <f t="shared" si="1"/>
        <v>Fourtune</v>
      </c>
      <c r="G47" s="600"/>
      <c r="H47" s="600">
        <v>12</v>
      </c>
    </row>
    <row r="48" spans="1:8" x14ac:dyDescent="0.25">
      <c r="A48" s="599" t="s">
        <v>4563</v>
      </c>
      <c r="B48" s="605" t="s">
        <v>1214</v>
      </c>
      <c r="C48" s="606">
        <v>1</v>
      </c>
      <c r="D48" s="599" t="str">
        <f t="shared" si="0"/>
        <v>Grafitti</v>
      </c>
      <c r="E48" s="600"/>
      <c r="F48" s="599" t="str">
        <f t="shared" si="1"/>
        <v>Grafitti</v>
      </c>
      <c r="G48" s="600"/>
      <c r="H48" s="600">
        <v>13</v>
      </c>
    </row>
    <row r="49" spans="1:8" x14ac:dyDescent="0.25">
      <c r="A49" s="599" t="s">
        <v>4563</v>
      </c>
      <c r="B49" s="605" t="s">
        <v>1582</v>
      </c>
      <c r="C49" s="606">
        <v>1</v>
      </c>
      <c r="D49" s="599" t="str">
        <f t="shared" si="0"/>
        <v>Pony Express</v>
      </c>
      <c r="E49" s="600"/>
      <c r="F49" s="599" t="str">
        <f t="shared" si="1"/>
        <v>Pony Express</v>
      </c>
      <c r="G49" s="600"/>
      <c r="H49" s="600">
        <v>14</v>
      </c>
    </row>
    <row r="50" spans="1:8" x14ac:dyDescent="0.25">
      <c r="A50" s="599" t="s">
        <v>4563</v>
      </c>
      <c r="B50" s="605" t="s">
        <v>3592</v>
      </c>
      <c r="C50" s="606">
        <v>1</v>
      </c>
      <c r="D50" s="599" t="str">
        <f t="shared" si="0"/>
        <v>QED</v>
      </c>
      <c r="E50" s="600"/>
      <c r="F50" s="599" t="str">
        <f t="shared" si="1"/>
        <v>QED</v>
      </c>
      <c r="G50" s="600"/>
      <c r="H50" s="600">
        <v>15</v>
      </c>
    </row>
    <row r="51" spans="1:8" x14ac:dyDescent="0.25">
      <c r="A51" s="599" t="s">
        <v>4563</v>
      </c>
      <c r="B51" s="605" t="s">
        <v>1287</v>
      </c>
      <c r="C51" s="606">
        <v>1</v>
      </c>
      <c r="D51" s="599" t="str">
        <f t="shared" si="0"/>
        <v>Quadzilla</v>
      </c>
      <c r="E51" s="600"/>
      <c r="F51" s="599" t="str">
        <f t="shared" si="1"/>
        <v>Quadzilla</v>
      </c>
      <c r="G51" s="600"/>
      <c r="H51" s="600">
        <v>16</v>
      </c>
    </row>
    <row r="52" spans="1:8" x14ac:dyDescent="0.25">
      <c r="A52" s="599" t="s">
        <v>4563</v>
      </c>
      <c r="B52" s="605" t="s">
        <v>3107</v>
      </c>
      <c r="C52" s="606">
        <v>1</v>
      </c>
      <c r="D52" s="599" t="str">
        <f t="shared" si="0"/>
        <v>Rapport</v>
      </c>
      <c r="E52" s="600"/>
      <c r="F52" s="599" t="str">
        <f t="shared" si="1"/>
        <v>Rapport</v>
      </c>
      <c r="G52" s="600"/>
      <c r="H52" s="600">
        <v>17</v>
      </c>
    </row>
    <row r="53" spans="1:8" x14ac:dyDescent="0.25">
      <c r="A53" s="599" t="s">
        <v>4563</v>
      </c>
      <c r="B53" s="605" t="s">
        <v>1871</v>
      </c>
      <c r="C53" s="606">
        <v>1</v>
      </c>
      <c r="D53" s="599" t="str">
        <f t="shared" si="0"/>
        <v>Select Company</v>
      </c>
      <c r="E53" s="600"/>
      <c r="F53" s="599" t="str">
        <f t="shared" si="1"/>
        <v>Select Company</v>
      </c>
      <c r="G53" s="600"/>
      <c r="H53" s="600">
        <v>18</v>
      </c>
    </row>
    <row r="54" spans="1:8" x14ac:dyDescent="0.25">
      <c r="A54" s="599" t="s">
        <v>4563</v>
      </c>
      <c r="B54" s="605" t="s">
        <v>4561</v>
      </c>
      <c r="C54" s="606">
        <v>1</v>
      </c>
      <c r="D54" s="599" t="str">
        <f t="shared" si="0"/>
        <v>Sound Hypthesis</v>
      </c>
      <c r="E54" s="600"/>
      <c r="F54" s="599" t="str">
        <f t="shared" si="1"/>
        <v>Sound Hypthesis</v>
      </c>
      <c r="G54" s="600"/>
      <c r="H54" s="600">
        <v>19</v>
      </c>
    </row>
    <row r="55" spans="1:8" x14ac:dyDescent="0.25">
      <c r="A55" s="599" t="s">
        <v>4563</v>
      </c>
      <c r="B55" s="605" t="s">
        <v>4540</v>
      </c>
      <c r="C55" s="600">
        <v>1</v>
      </c>
      <c r="D55" s="599" t="str">
        <f t="shared" si="0"/>
        <v>Suits You Sir</v>
      </c>
      <c r="E55" s="606"/>
      <c r="F55" s="599" t="str">
        <f t="shared" si="1"/>
        <v>Suits You Sir</v>
      </c>
      <c r="G55" s="600"/>
      <c r="H55" s="600">
        <v>20</v>
      </c>
    </row>
    <row r="56" spans="1:8" x14ac:dyDescent="0.25">
      <c r="A56" s="599" t="s">
        <v>4563</v>
      </c>
      <c r="B56" s="599" t="s">
        <v>598</v>
      </c>
      <c r="C56" s="600">
        <v>1</v>
      </c>
      <c r="D56" s="599" t="str">
        <f t="shared" si="0"/>
        <v>The UniSons</v>
      </c>
      <c r="E56" s="600"/>
      <c r="F56" s="599" t="str">
        <f t="shared" si="1"/>
        <v>The UniSons</v>
      </c>
      <c r="G56" s="600"/>
      <c r="H56" s="600">
        <v>21</v>
      </c>
    </row>
    <row r="57" spans="1:8" x14ac:dyDescent="0.25">
      <c r="A57" s="599" t="s">
        <v>4563</v>
      </c>
      <c r="B57" s="605" t="s">
        <v>2644</v>
      </c>
      <c r="C57" s="606">
        <v>1</v>
      </c>
      <c r="D57" s="599" t="str">
        <f t="shared" si="0"/>
        <v>Top C</v>
      </c>
      <c r="E57" s="600"/>
      <c r="F57" s="599" t="str">
        <f t="shared" si="1"/>
        <v>Top C</v>
      </c>
      <c r="G57" s="600"/>
      <c r="H57" s="600">
        <v>22</v>
      </c>
    </row>
    <row r="58" spans="1:8" x14ac:dyDescent="0.25">
      <c r="A58" s="599" t="s">
        <v>4563</v>
      </c>
      <c r="B58" s="605" t="s">
        <v>4690</v>
      </c>
      <c r="C58" s="600">
        <v>1</v>
      </c>
      <c r="D58" s="599" t="str">
        <f t="shared" si="0"/>
        <v>4K</v>
      </c>
      <c r="E58" s="606"/>
      <c r="F58" s="599" t="str">
        <f t="shared" si="1"/>
        <v>4K</v>
      </c>
      <c r="G58" s="600"/>
      <c r="H58" s="600">
        <v>23</v>
      </c>
    </row>
    <row r="59" spans="1:8" x14ac:dyDescent="0.25">
      <c r="A59" s="599" t="s">
        <v>4564</v>
      </c>
      <c r="B59" s="605" t="s">
        <v>3589</v>
      </c>
      <c r="C59" s="600"/>
      <c r="D59" s="599" t="str">
        <f t="shared" si="0"/>
        <v>Almost Gentlemen</v>
      </c>
      <c r="E59" s="606">
        <v>1</v>
      </c>
      <c r="F59" s="599" t="str">
        <f t="shared" si="1"/>
        <v>Almost Gentlemen</v>
      </c>
      <c r="G59" s="600">
        <v>1</v>
      </c>
      <c r="H59" s="600">
        <v>24</v>
      </c>
    </row>
    <row r="60" spans="1:8" x14ac:dyDescent="0.25">
      <c r="A60" s="599" t="s">
        <v>4564</v>
      </c>
      <c r="B60" s="605" t="s">
        <v>4011</v>
      </c>
      <c r="C60" s="600"/>
      <c r="D60" s="599" t="str">
        <f t="shared" si="0"/>
        <v>Quarte Tones</v>
      </c>
      <c r="E60" s="606">
        <v>1</v>
      </c>
      <c r="F60" s="599" t="str">
        <f t="shared" si="1"/>
        <v>Quarte Tones</v>
      </c>
      <c r="G60" s="600">
        <v>1</v>
      </c>
      <c r="H60" s="600">
        <v>25</v>
      </c>
    </row>
    <row r="61" spans="1:8" x14ac:dyDescent="0.25">
      <c r="A61" s="599" t="s">
        <v>4564</v>
      </c>
      <c r="B61" s="599" t="s">
        <v>978</v>
      </c>
      <c r="C61" s="600"/>
      <c r="D61" s="599" t="str">
        <f t="shared" si="0"/>
        <v>Shoreline</v>
      </c>
      <c r="E61" s="600">
        <v>1</v>
      </c>
      <c r="F61" s="599" t="str">
        <f t="shared" si="1"/>
        <v>Shoreline</v>
      </c>
      <c r="G61" s="600">
        <v>1</v>
      </c>
      <c r="H61" s="600">
        <v>26</v>
      </c>
    </row>
    <row r="62" spans="1:8" x14ac:dyDescent="0.25">
      <c r="A62" s="599" t="s">
        <v>4565</v>
      </c>
      <c r="B62" s="605" t="s">
        <v>1594</v>
      </c>
      <c r="C62" s="600"/>
      <c r="D62" s="599" t="str">
        <f t="shared" si="0"/>
        <v>Bandwagon</v>
      </c>
      <c r="E62" s="606">
        <v>1</v>
      </c>
      <c r="F62" s="599" t="str">
        <f t="shared" si="1"/>
        <v>Bandwagon</v>
      </c>
      <c r="G62" s="600"/>
      <c r="H62" s="600">
        <v>27</v>
      </c>
    </row>
    <row r="63" spans="1:8" x14ac:dyDescent="0.25">
      <c r="A63" s="599" t="s">
        <v>4565</v>
      </c>
      <c r="B63" s="605" t="s">
        <v>1041</v>
      </c>
      <c r="C63" s="600"/>
      <c r="D63" s="599" t="str">
        <f t="shared" si="0"/>
        <v>Bostin' 4 a Pitch</v>
      </c>
      <c r="E63" s="606">
        <v>1</v>
      </c>
      <c r="F63" s="599" t="str">
        <f t="shared" si="1"/>
        <v>Bostin' 4 a Pitch</v>
      </c>
      <c r="G63" s="600"/>
      <c r="H63" s="600">
        <v>28</v>
      </c>
    </row>
    <row r="64" spans="1:8" x14ac:dyDescent="0.25">
      <c r="A64" s="599" t="s">
        <v>4565</v>
      </c>
      <c r="B64" s="605" t="s">
        <v>2253</v>
      </c>
      <c r="C64" s="600"/>
      <c r="D64" s="599" t="str">
        <f t="shared" si="0"/>
        <v>Broadway</v>
      </c>
      <c r="E64" s="606">
        <v>1</v>
      </c>
      <c r="F64" s="599" t="str">
        <f t="shared" si="1"/>
        <v>Broadway</v>
      </c>
      <c r="G64" s="600"/>
      <c r="H64" s="600">
        <v>29</v>
      </c>
    </row>
    <row r="65" spans="1:8" x14ac:dyDescent="0.25">
      <c r="A65" s="599" t="s">
        <v>4565</v>
      </c>
      <c r="B65" s="605" t="s">
        <v>1564</v>
      </c>
      <c r="C65" s="600"/>
      <c r="D65" s="599" t="str">
        <f t="shared" si="0"/>
        <v>Catch 22</v>
      </c>
      <c r="E65" s="606">
        <v>1</v>
      </c>
      <c r="F65" s="599" t="str">
        <f t="shared" si="1"/>
        <v>Catch 22</v>
      </c>
      <c r="G65" s="600"/>
      <c r="H65" s="600">
        <v>30</v>
      </c>
    </row>
    <row r="66" spans="1:8" x14ac:dyDescent="0.25">
      <c r="A66" s="599" t="s">
        <v>4565</v>
      </c>
      <c r="B66" s="605" t="s">
        <v>3110</v>
      </c>
      <c r="C66" s="600"/>
      <c r="D66" s="599" t="str">
        <f t="shared" si="0"/>
        <v>Close Encounter</v>
      </c>
      <c r="E66" s="606">
        <v>1</v>
      </c>
      <c r="F66" s="599" t="str">
        <f t="shared" si="1"/>
        <v>Close Encounter</v>
      </c>
      <c r="G66" s="600"/>
      <c r="H66" s="600">
        <v>31</v>
      </c>
    </row>
    <row r="67" spans="1:8" x14ac:dyDescent="0.25">
      <c r="A67" s="599" t="s">
        <v>4565</v>
      </c>
      <c r="B67" s="605" t="s">
        <v>3112</v>
      </c>
      <c r="C67" s="600"/>
      <c r="D67" s="599" t="str">
        <f t="shared" si="0"/>
        <v>Fifth Amendment</v>
      </c>
      <c r="E67" s="606">
        <v>1</v>
      </c>
      <c r="F67" s="599" t="str">
        <f t="shared" si="1"/>
        <v>Fifth Amendment</v>
      </c>
      <c r="G67" s="600"/>
      <c r="H67" s="600">
        <v>32</v>
      </c>
    </row>
    <row r="68" spans="1:8" x14ac:dyDescent="0.25">
      <c r="A68" s="599" t="s">
        <v>4565</v>
      </c>
      <c r="B68" s="605" t="s">
        <v>1592</v>
      </c>
      <c r="C68" s="600"/>
      <c r="D68" s="599" t="str">
        <f t="shared" ref="D68:D101" si="2">+B68</f>
        <v>Forte</v>
      </c>
      <c r="E68" s="606">
        <v>1</v>
      </c>
      <c r="F68" s="599" t="str">
        <f t="shared" ref="F68:F101" si="3">+B68</f>
        <v>Forte</v>
      </c>
      <c r="G68" s="600"/>
      <c r="H68" s="600">
        <v>33</v>
      </c>
    </row>
    <row r="69" spans="1:8" x14ac:dyDescent="0.25">
      <c r="A69" s="599" t="s">
        <v>4565</v>
      </c>
      <c r="B69" s="605" t="s">
        <v>3308</v>
      </c>
      <c r="C69" s="600"/>
      <c r="D69" s="599" t="str">
        <f t="shared" si="2"/>
        <v>Four Across</v>
      </c>
      <c r="E69" s="606">
        <v>1</v>
      </c>
      <c r="F69" s="599" t="str">
        <f t="shared" si="3"/>
        <v>Four Across</v>
      </c>
      <c r="G69" s="600"/>
      <c r="H69" s="600">
        <v>34</v>
      </c>
    </row>
    <row r="70" spans="1:8" x14ac:dyDescent="0.25">
      <c r="A70" s="599" t="s">
        <v>4565</v>
      </c>
      <c r="B70" s="599" t="s">
        <v>1103</v>
      </c>
      <c r="C70" s="600"/>
      <c r="D70" s="599" t="str">
        <f t="shared" si="2"/>
        <v>Northern Quarter</v>
      </c>
      <c r="E70" s="600">
        <v>1</v>
      </c>
      <c r="F70" s="599" t="str">
        <f t="shared" si="3"/>
        <v>Northern Quarter</v>
      </c>
      <c r="G70" s="600"/>
      <c r="H70" s="600">
        <v>35</v>
      </c>
    </row>
    <row r="71" spans="1:8" x14ac:dyDescent="0.25">
      <c r="A71" s="599" t="s">
        <v>4565</v>
      </c>
      <c r="B71" s="605" t="s">
        <v>3584</v>
      </c>
      <c r="C71" s="600"/>
      <c r="D71" s="599" t="str">
        <f t="shared" si="2"/>
        <v>Revelation</v>
      </c>
      <c r="E71" s="606">
        <v>1</v>
      </c>
      <c r="F71" s="599" t="str">
        <f t="shared" si="3"/>
        <v>Revelation</v>
      </c>
      <c r="G71" s="600"/>
      <c r="H71" s="600">
        <v>36</v>
      </c>
    </row>
    <row r="72" spans="1:8" x14ac:dyDescent="0.25">
      <c r="A72" s="599" t="s">
        <v>4565</v>
      </c>
      <c r="B72" s="605" t="s">
        <v>3578</v>
      </c>
      <c r="C72" s="600"/>
      <c r="D72" s="599" t="str">
        <f t="shared" si="2"/>
        <v>Soundcrew</v>
      </c>
      <c r="E72" s="606">
        <v>1</v>
      </c>
      <c r="F72" s="599" t="str">
        <f t="shared" si="3"/>
        <v>Soundcrew</v>
      </c>
      <c r="G72" s="600"/>
      <c r="H72" s="600">
        <v>37</v>
      </c>
    </row>
    <row r="73" spans="1:8" x14ac:dyDescent="0.25">
      <c r="A73" s="599" t="s">
        <v>4565</v>
      </c>
      <c r="B73" s="605" t="s">
        <v>2356</v>
      </c>
      <c r="C73" s="600"/>
      <c r="D73" s="599" t="str">
        <f t="shared" si="2"/>
        <v>Speculation</v>
      </c>
      <c r="E73" s="606">
        <v>1</v>
      </c>
      <c r="F73" s="599" t="str">
        <f t="shared" si="3"/>
        <v>Speculation</v>
      </c>
      <c r="G73" s="600"/>
      <c r="H73" s="600">
        <v>38</v>
      </c>
    </row>
    <row r="74" spans="1:8" x14ac:dyDescent="0.25">
      <c r="A74" s="599" t="s">
        <v>4565</v>
      </c>
      <c r="B74" s="605" t="s">
        <v>2699</v>
      </c>
      <c r="C74" s="600"/>
      <c r="D74" s="599" t="str">
        <f t="shared" si="2"/>
        <v>Tagline</v>
      </c>
      <c r="E74" s="606">
        <v>1</v>
      </c>
      <c r="F74" s="599" t="str">
        <f t="shared" si="3"/>
        <v>Tagline</v>
      </c>
      <c r="G74" s="600"/>
      <c r="H74" s="600">
        <v>39</v>
      </c>
    </row>
    <row r="75" spans="1:8" x14ac:dyDescent="0.25">
      <c r="A75" s="599" t="s">
        <v>4565</v>
      </c>
      <c r="B75" s="605" t="s">
        <v>2243</v>
      </c>
      <c r="C75" s="600"/>
      <c r="D75" s="599" t="str">
        <f t="shared" si="2"/>
        <v>The Backroom Boys</v>
      </c>
      <c r="E75" s="606">
        <v>1</v>
      </c>
      <c r="F75" s="599" t="str">
        <f t="shared" si="3"/>
        <v>The Backroom Boys</v>
      </c>
      <c r="G75" s="600"/>
      <c r="H75" s="600">
        <v>40</v>
      </c>
    </row>
    <row r="76" spans="1:8" x14ac:dyDescent="0.25">
      <c r="A76" s="599" t="s">
        <v>4565</v>
      </c>
      <c r="B76" s="599" t="s">
        <v>946</v>
      </c>
      <c r="C76" s="600"/>
      <c r="D76" s="599" t="str">
        <f t="shared" si="2"/>
        <v>The Locksmiths</v>
      </c>
      <c r="E76" s="600">
        <v>1</v>
      </c>
      <c r="F76" s="599" t="str">
        <f t="shared" si="3"/>
        <v>The Locksmiths</v>
      </c>
      <c r="G76" s="600"/>
      <c r="H76" s="600">
        <v>41</v>
      </c>
    </row>
    <row r="77" spans="1:8" x14ac:dyDescent="0.25">
      <c r="A77" s="599" t="s">
        <v>4565</v>
      </c>
      <c r="B77" s="605" t="s">
        <v>3946</v>
      </c>
      <c r="C77" s="600"/>
      <c r="D77" s="599" t="str">
        <f t="shared" si="2"/>
        <v>The Quarterjacks</v>
      </c>
      <c r="E77" s="606">
        <v>1</v>
      </c>
      <c r="F77" s="599" t="str">
        <f t="shared" si="3"/>
        <v>The Quarterjacks</v>
      </c>
      <c r="G77" s="600"/>
      <c r="H77" s="600">
        <v>42</v>
      </c>
    </row>
    <row r="78" spans="1:8" x14ac:dyDescent="0.25">
      <c r="A78" s="599" t="s">
        <v>4565</v>
      </c>
      <c r="B78" s="599" t="s">
        <v>2865</v>
      </c>
      <c r="C78" s="600"/>
      <c r="D78" s="599" t="str">
        <f t="shared" si="2"/>
        <v>The Simpletones</v>
      </c>
      <c r="E78" s="600">
        <v>1</v>
      </c>
      <c r="F78" s="599" t="str">
        <f t="shared" si="3"/>
        <v>The Simpletones</v>
      </c>
      <c r="G78" s="600"/>
      <c r="H78" s="600">
        <v>43</v>
      </c>
    </row>
    <row r="79" spans="1:8" x14ac:dyDescent="0.25">
      <c r="A79" s="599" t="s">
        <v>4565</v>
      </c>
      <c r="B79" s="605" t="s">
        <v>2867</v>
      </c>
      <c r="C79" s="600"/>
      <c r="D79" s="599" t="str">
        <f t="shared" si="2"/>
        <v>The Travellers</v>
      </c>
      <c r="E79" s="606">
        <v>1</v>
      </c>
      <c r="F79" s="599" t="str">
        <f t="shared" si="3"/>
        <v>The Travellers</v>
      </c>
      <c r="G79" s="600"/>
      <c r="H79" s="600">
        <v>44</v>
      </c>
    </row>
    <row r="80" spans="1:8" x14ac:dyDescent="0.25">
      <c r="A80" s="599" t="s">
        <v>4565</v>
      </c>
      <c r="B80" s="605" t="s">
        <v>4659</v>
      </c>
      <c r="C80" s="600"/>
      <c r="D80" s="599" t="str">
        <f t="shared" si="2"/>
        <v>Chromatix</v>
      </c>
      <c r="E80" s="600">
        <v>1</v>
      </c>
      <c r="F80" s="599" t="str">
        <f t="shared" si="3"/>
        <v>Chromatix</v>
      </c>
      <c r="G80" s="600"/>
      <c r="H80" s="600">
        <v>45</v>
      </c>
    </row>
    <row r="81" spans="1:8" x14ac:dyDescent="0.25">
      <c r="A81" s="599" t="s">
        <v>4566</v>
      </c>
      <c r="B81" s="605" t="s">
        <v>2244</v>
      </c>
      <c r="C81" s="600"/>
      <c r="D81" s="599" t="str">
        <f t="shared" si="2"/>
        <v>Southern Brand</v>
      </c>
      <c r="E81" s="600"/>
      <c r="F81" s="599" t="str">
        <f t="shared" si="3"/>
        <v>Southern Brand</v>
      </c>
      <c r="G81" s="600">
        <v>2</v>
      </c>
      <c r="H81" s="600">
        <v>46</v>
      </c>
    </row>
    <row r="82" spans="1:8" x14ac:dyDescent="0.25">
      <c r="A82" s="599" t="s">
        <v>4566</v>
      </c>
      <c r="B82" s="605" t="s">
        <v>2373</v>
      </c>
      <c r="C82" s="600"/>
      <c r="D82" s="599" t="str">
        <f t="shared" si="2"/>
        <v>This Way Up</v>
      </c>
      <c r="E82" s="600"/>
      <c r="F82" s="599" t="str">
        <f t="shared" si="3"/>
        <v>This Way Up</v>
      </c>
      <c r="G82" s="600">
        <v>2</v>
      </c>
      <c r="H82" s="600">
        <v>47</v>
      </c>
    </row>
    <row r="83" spans="1:8" x14ac:dyDescent="0.25">
      <c r="A83" s="599" t="s">
        <v>4567</v>
      </c>
      <c r="B83" s="599" t="s">
        <v>1092</v>
      </c>
      <c r="C83" s="600"/>
      <c r="D83" s="599" t="str">
        <f t="shared" si="2"/>
        <v>4 On Demand</v>
      </c>
      <c r="E83" s="600"/>
      <c r="F83" s="599" t="str">
        <f t="shared" si="3"/>
        <v>4 On Demand</v>
      </c>
      <c r="G83" s="600">
        <v>1</v>
      </c>
      <c r="H83" s="600">
        <v>48</v>
      </c>
    </row>
    <row r="84" spans="1:8" x14ac:dyDescent="0.25">
      <c r="A84" s="599" t="s">
        <v>4567</v>
      </c>
      <c r="B84" s="605" t="s">
        <v>3338</v>
      </c>
      <c r="C84" s="600"/>
      <c r="D84" s="599" t="str">
        <f t="shared" si="2"/>
        <v>Cadence</v>
      </c>
      <c r="E84" s="600"/>
      <c r="F84" s="599" t="str">
        <f t="shared" si="3"/>
        <v>Cadence</v>
      </c>
      <c r="G84" s="600">
        <v>1</v>
      </c>
      <c r="H84" s="600">
        <v>49</v>
      </c>
    </row>
    <row r="85" spans="1:8" x14ac:dyDescent="0.25">
      <c r="A85" s="599" t="s">
        <v>4567</v>
      </c>
      <c r="B85" s="605" t="s">
        <v>412</v>
      </c>
      <c r="C85" s="600"/>
      <c r="D85" s="599" t="str">
        <f t="shared" si="2"/>
        <v>Celebration</v>
      </c>
      <c r="E85" s="600"/>
      <c r="F85" s="599" t="str">
        <f t="shared" si="3"/>
        <v>Celebration</v>
      </c>
      <c r="G85" s="600">
        <v>1</v>
      </c>
      <c r="H85" s="600">
        <v>50</v>
      </c>
    </row>
    <row r="86" spans="1:8" x14ac:dyDescent="0.25">
      <c r="A86" s="599" t="s">
        <v>4567</v>
      </c>
      <c r="B86" s="605" t="s">
        <v>532</v>
      </c>
      <c r="C86" s="600"/>
      <c r="D86" s="599" t="str">
        <f t="shared" si="2"/>
        <v>Forge</v>
      </c>
      <c r="E86" s="600"/>
      <c r="F86" s="599" t="str">
        <f t="shared" si="3"/>
        <v>Forge</v>
      </c>
      <c r="G86" s="600">
        <v>1</v>
      </c>
      <c r="H86" s="600">
        <v>51</v>
      </c>
    </row>
    <row r="87" spans="1:8" x14ac:dyDescent="0.25">
      <c r="A87" s="599" t="s">
        <v>4567</v>
      </c>
      <c r="B87" s="605" t="s">
        <v>3308</v>
      </c>
      <c r="C87" s="600"/>
      <c r="D87" s="599" t="str">
        <f t="shared" si="2"/>
        <v>Four Across</v>
      </c>
      <c r="E87" s="600"/>
      <c r="F87" s="599" t="str">
        <f t="shared" si="3"/>
        <v>Four Across</v>
      </c>
      <c r="G87" s="600">
        <v>1</v>
      </c>
      <c r="H87" s="600">
        <v>52</v>
      </c>
    </row>
    <row r="88" spans="1:8" x14ac:dyDescent="0.25">
      <c r="A88" s="599" t="s">
        <v>4567</v>
      </c>
      <c r="B88" s="605" t="s">
        <v>3311</v>
      </c>
      <c r="C88" s="600"/>
      <c r="D88" s="599" t="str">
        <f t="shared" si="2"/>
        <v>Fourtune</v>
      </c>
      <c r="E88" s="600"/>
      <c r="F88" s="599" t="str">
        <f t="shared" si="3"/>
        <v>Fourtune</v>
      </c>
      <c r="G88" s="600">
        <v>1</v>
      </c>
      <c r="H88" s="600">
        <v>53</v>
      </c>
    </row>
    <row r="89" spans="1:8" x14ac:dyDescent="0.25">
      <c r="A89" s="599" t="s">
        <v>4567</v>
      </c>
      <c r="B89" s="605" t="s">
        <v>2145</v>
      </c>
      <c r="C89" s="600"/>
      <c r="D89" s="599" t="str">
        <f t="shared" si="2"/>
        <v>High Spirits</v>
      </c>
      <c r="E89" s="600"/>
      <c r="F89" s="599" t="str">
        <f t="shared" si="3"/>
        <v>High Spirits</v>
      </c>
      <c r="G89" s="600">
        <v>1</v>
      </c>
      <c r="H89" s="600">
        <v>54</v>
      </c>
    </row>
    <row r="90" spans="1:8" x14ac:dyDescent="0.25">
      <c r="A90" s="599" t="s">
        <v>4567</v>
      </c>
      <c r="B90" s="605" t="s">
        <v>399</v>
      </c>
      <c r="C90" s="600"/>
      <c r="D90" s="599" t="str">
        <f t="shared" si="2"/>
        <v>Northern Lights</v>
      </c>
      <c r="E90" s="600"/>
      <c r="F90" s="599" t="str">
        <f t="shared" si="3"/>
        <v>Northern Lights</v>
      </c>
      <c r="G90" s="600">
        <v>1</v>
      </c>
      <c r="H90" s="600">
        <v>55</v>
      </c>
    </row>
    <row r="91" spans="1:8" x14ac:dyDescent="0.25">
      <c r="A91" s="599" t="s">
        <v>4567</v>
      </c>
      <c r="B91" s="599" t="s">
        <v>4724</v>
      </c>
      <c r="C91" s="600"/>
      <c r="D91" s="599" t="str">
        <f t="shared" si="2"/>
        <v>Poachers Relish</v>
      </c>
      <c r="E91" s="600"/>
      <c r="F91" s="599" t="str">
        <f t="shared" si="3"/>
        <v>Poachers Relish</v>
      </c>
      <c r="G91" s="600">
        <v>1</v>
      </c>
      <c r="H91" s="600">
        <v>56</v>
      </c>
    </row>
    <row r="92" spans="1:8" x14ac:dyDescent="0.25">
      <c r="A92" s="599" t="s">
        <v>4567</v>
      </c>
      <c r="B92" s="605" t="s">
        <v>52</v>
      </c>
      <c r="C92" s="600"/>
      <c r="D92" s="599" t="str">
        <f t="shared" si="2"/>
        <v>QM</v>
      </c>
      <c r="E92" s="600"/>
      <c r="F92" s="599" t="str">
        <f t="shared" si="3"/>
        <v>QM</v>
      </c>
      <c r="G92" s="600">
        <v>1</v>
      </c>
      <c r="H92" s="600">
        <v>57</v>
      </c>
    </row>
    <row r="93" spans="1:8" x14ac:dyDescent="0.25">
      <c r="A93" s="599" t="s">
        <v>4567</v>
      </c>
      <c r="B93" s="605" t="s">
        <v>3670</v>
      </c>
      <c r="C93" s="600"/>
      <c r="D93" s="599" t="str">
        <f t="shared" si="2"/>
        <v>Route 16</v>
      </c>
      <c r="E93" s="600"/>
      <c r="F93" s="599" t="str">
        <f t="shared" si="3"/>
        <v>Route 16</v>
      </c>
      <c r="G93" s="600">
        <v>1</v>
      </c>
      <c r="H93" s="600">
        <v>58</v>
      </c>
    </row>
    <row r="94" spans="1:8" x14ac:dyDescent="0.25">
      <c r="A94" s="599" t="s">
        <v>4567</v>
      </c>
      <c r="B94" s="599" t="s">
        <v>2873</v>
      </c>
      <c r="C94" s="600"/>
      <c r="D94" s="599" t="str">
        <f t="shared" si="2"/>
        <v>Routemasters</v>
      </c>
      <c r="E94" s="600"/>
      <c r="F94" s="599" t="str">
        <f t="shared" si="3"/>
        <v>Routemasters</v>
      </c>
      <c r="G94" s="600">
        <v>1</v>
      </c>
      <c r="H94" s="600">
        <v>59</v>
      </c>
    </row>
    <row r="95" spans="1:8" x14ac:dyDescent="0.25">
      <c r="A95" s="599" t="s">
        <v>4567</v>
      </c>
      <c r="B95" s="605" t="s">
        <v>1871</v>
      </c>
      <c r="C95" s="600"/>
      <c r="D95" s="599" t="str">
        <f t="shared" si="2"/>
        <v>Select Company</v>
      </c>
      <c r="E95" s="600"/>
      <c r="F95" s="599" t="str">
        <f t="shared" si="3"/>
        <v>Select Company</v>
      </c>
      <c r="G95" s="600">
        <v>1</v>
      </c>
      <c r="H95" s="600">
        <v>60</v>
      </c>
    </row>
    <row r="96" spans="1:8" x14ac:dyDescent="0.25">
      <c r="A96" s="599" t="s">
        <v>4567</v>
      </c>
      <c r="B96" s="605" t="s">
        <v>1794</v>
      </c>
      <c r="C96" s="600"/>
      <c r="D96" s="599" t="str">
        <f t="shared" si="2"/>
        <v>Soclose</v>
      </c>
      <c r="E96" s="600"/>
      <c r="F96" s="599" t="str">
        <f t="shared" si="3"/>
        <v>Soclose</v>
      </c>
      <c r="G96" s="600">
        <v>1</v>
      </c>
      <c r="H96" s="600">
        <v>61</v>
      </c>
    </row>
    <row r="97" spans="1:8" x14ac:dyDescent="0.25">
      <c r="A97" s="599" t="s">
        <v>4567</v>
      </c>
      <c r="B97" s="605" t="s">
        <v>1040</v>
      </c>
      <c r="C97" s="600"/>
      <c r="D97" s="599" t="str">
        <f t="shared" si="2"/>
        <v>Something For The Weekend</v>
      </c>
      <c r="E97" s="600"/>
      <c r="F97" s="599" t="str">
        <f t="shared" si="3"/>
        <v>Something For The Weekend</v>
      </c>
      <c r="G97" s="600">
        <v>1</v>
      </c>
      <c r="H97" s="600">
        <v>62</v>
      </c>
    </row>
    <row r="98" spans="1:8" x14ac:dyDescent="0.25">
      <c r="A98" s="599" t="s">
        <v>4567</v>
      </c>
      <c r="B98" s="605" t="s">
        <v>908</v>
      </c>
      <c r="C98" s="600"/>
      <c r="D98" s="599" t="str">
        <f t="shared" si="2"/>
        <v>South Parade</v>
      </c>
      <c r="E98" s="600"/>
      <c r="F98" s="599" t="str">
        <f t="shared" si="3"/>
        <v>South Parade</v>
      </c>
      <c r="G98" s="600">
        <v>1</v>
      </c>
      <c r="H98" s="600">
        <v>63</v>
      </c>
    </row>
    <row r="99" spans="1:8" x14ac:dyDescent="0.25">
      <c r="A99" s="599" t="s">
        <v>4567</v>
      </c>
      <c r="B99" s="605" t="s">
        <v>1586</v>
      </c>
      <c r="C99" s="600"/>
      <c r="D99" s="599" t="str">
        <f t="shared" si="2"/>
        <v>Vox</v>
      </c>
      <c r="E99" s="600"/>
      <c r="F99" s="599" t="str">
        <f t="shared" si="3"/>
        <v>Vox</v>
      </c>
      <c r="G99" s="600">
        <v>1</v>
      </c>
      <c r="H99" s="600">
        <v>64</v>
      </c>
    </row>
    <row r="100" spans="1:8" x14ac:dyDescent="0.25">
      <c r="A100" s="599" t="s">
        <v>4567</v>
      </c>
      <c r="B100" s="605" t="s">
        <v>815</v>
      </c>
      <c r="C100" s="600"/>
      <c r="D100" s="599" t="str">
        <f t="shared" si="2"/>
        <v>Wheel of Harmony</v>
      </c>
      <c r="E100" s="600"/>
      <c r="F100" s="599" t="str">
        <f t="shared" si="3"/>
        <v>Wheel of Harmony</v>
      </c>
      <c r="G100" s="600">
        <v>1</v>
      </c>
      <c r="H100" s="600">
        <v>65</v>
      </c>
    </row>
    <row r="101" spans="1:8" x14ac:dyDescent="0.25">
      <c r="A101" s="599" t="s">
        <v>4567</v>
      </c>
      <c r="B101" s="605" t="s">
        <v>4515</v>
      </c>
      <c r="C101" s="600"/>
      <c r="D101" s="599" t="str">
        <f t="shared" si="2"/>
        <v>Fifth Element</v>
      </c>
      <c r="E101" s="600"/>
      <c r="F101" s="599" t="str">
        <f t="shared" si="3"/>
        <v>Fifth Element</v>
      </c>
      <c r="G101" s="600">
        <v>1</v>
      </c>
      <c r="H101" s="600">
        <v>66</v>
      </c>
    </row>
    <row r="102" spans="1:8" x14ac:dyDescent="0.25">
      <c r="A102" s="601"/>
      <c r="B102" s="607"/>
      <c r="C102" s="608"/>
      <c r="D102" s="601"/>
      <c r="E102" s="602"/>
      <c r="F102" s="601"/>
      <c r="G102" s="608"/>
      <c r="H102" s="602"/>
    </row>
    <row r="103" spans="1:8" x14ac:dyDescent="0.25">
      <c r="B103" s="192"/>
      <c r="E103" s="192"/>
    </row>
    <row r="104" spans="1:8" x14ac:dyDescent="0.25">
      <c r="E104" s="192"/>
    </row>
    <row r="105" spans="1:8" x14ac:dyDescent="0.25">
      <c r="B105" s="192"/>
      <c r="G105" s="192"/>
    </row>
    <row r="106" spans="1:8" x14ac:dyDescent="0.25">
      <c r="B106" s="192"/>
      <c r="G106" s="192"/>
    </row>
  </sheetData>
  <sortState xmlns:xlrd2="http://schemas.microsoft.com/office/spreadsheetml/2017/richdata2" ref="A36:H101">
    <sortCondition descending="1" ref="C36:C101"/>
    <sortCondition descending="1" ref="E36:E101"/>
    <sortCondition descending="1" ref="G36:G101"/>
  </sortState>
  <mergeCells count="1">
    <mergeCell ref="B2:F2"/>
  </mergeCells>
  <phoneticPr fontId="43" type="noConversion"/>
  <printOptions horizontalCentered="1"/>
  <pageMargins left="0" right="0" top="0.59055118110236227" bottom="0" header="0" footer="0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B656"/>
  <sheetViews>
    <sheetView tabSelected="1" zoomScale="83" zoomScaleNormal="83" workbookViewId="0">
      <pane xSplit="1" ySplit="4" topLeftCell="D50" activePane="bottomRight" state="frozen"/>
      <selection pane="topRight" activeCell="B1" sqref="B1"/>
      <selection pane="bottomLeft" activeCell="A5" sqref="A5"/>
      <selection pane="bottomRight" activeCell="AA83" sqref="AA83"/>
    </sheetView>
  </sheetViews>
  <sheetFormatPr defaultColWidth="8" defaultRowHeight="13.2" x14ac:dyDescent="0.25"/>
  <cols>
    <col min="1" max="1" width="41.44140625" style="353" customWidth="1"/>
    <col min="2" max="13" width="7" style="351" customWidth="1"/>
    <col min="14" max="14" width="7" style="382" customWidth="1"/>
    <col min="15" max="17" width="7" style="351" customWidth="1"/>
    <col min="18" max="18" width="7.44140625" style="351" customWidth="1"/>
    <col min="19" max="19" width="6.88671875" style="373" customWidth="1"/>
    <col min="20" max="28" width="7.6640625" style="357" customWidth="1"/>
    <col min="29" max="45" width="8.6640625" style="392" customWidth="1"/>
    <col min="46" max="51" width="8.6640625" style="393" customWidth="1"/>
    <col min="52" max="54" width="9.33203125" style="393" customWidth="1"/>
    <col min="55" max="16384" width="8" style="353"/>
  </cols>
  <sheetData>
    <row r="1" spans="1:54" ht="15.6" x14ac:dyDescent="0.3">
      <c r="A1" s="352" t="s">
        <v>4502</v>
      </c>
      <c r="B1" s="564" t="s">
        <v>1183</v>
      </c>
      <c r="C1" s="564"/>
      <c r="D1" s="564"/>
      <c r="E1" s="564"/>
      <c r="F1" s="564"/>
      <c r="G1" s="378"/>
      <c r="H1" s="378"/>
      <c r="I1" s="378"/>
      <c r="J1" s="378"/>
      <c r="K1" s="378"/>
      <c r="L1" s="378"/>
      <c r="M1" s="378"/>
      <c r="N1" s="379"/>
      <c r="O1" s="378"/>
      <c r="P1" s="378"/>
      <c r="Q1" s="378"/>
    </row>
    <row r="2" spans="1:54" x14ac:dyDescent="0.25">
      <c r="B2" s="376" t="s">
        <v>144</v>
      </c>
      <c r="C2" s="376" t="s">
        <v>155</v>
      </c>
      <c r="D2" s="376" t="s">
        <v>169</v>
      </c>
      <c r="E2" s="376" t="s">
        <v>3278</v>
      </c>
      <c r="F2" s="376" t="s">
        <v>3285</v>
      </c>
      <c r="G2" s="376" t="s">
        <v>1617</v>
      </c>
      <c r="H2" s="376" t="s">
        <v>1629</v>
      </c>
      <c r="I2" s="376" t="s">
        <v>1641</v>
      </c>
      <c r="J2" s="376" t="s">
        <v>3691</v>
      </c>
      <c r="K2" s="376" t="s">
        <v>2747</v>
      </c>
      <c r="L2" s="376" t="s">
        <v>2757</v>
      </c>
      <c r="M2" s="376" t="s">
        <v>438</v>
      </c>
      <c r="N2" s="380" t="s">
        <v>3727</v>
      </c>
      <c r="O2" s="376" t="s">
        <v>3728</v>
      </c>
      <c r="P2" s="376" t="s">
        <v>3729</v>
      </c>
      <c r="Q2" s="376" t="s">
        <v>3730</v>
      </c>
      <c r="R2" s="376" t="s">
        <v>3731</v>
      </c>
      <c r="S2" s="376" t="s">
        <v>3732</v>
      </c>
      <c r="T2" s="376" t="s">
        <v>3726</v>
      </c>
      <c r="U2" s="376">
        <v>2012</v>
      </c>
      <c r="V2" s="376">
        <v>2013</v>
      </c>
      <c r="W2" s="376">
        <v>2014</v>
      </c>
      <c r="X2" s="376">
        <v>2015</v>
      </c>
      <c r="Y2" s="376">
        <v>2016</v>
      </c>
      <c r="Z2" s="376">
        <v>2017</v>
      </c>
      <c r="AA2" s="376">
        <v>2018</v>
      </c>
      <c r="AB2" s="376">
        <v>2019</v>
      </c>
      <c r="AC2" s="394" t="str">
        <f t="shared" ref="AC2:AP2" si="0">+C2</f>
        <v>1994</v>
      </c>
      <c r="AD2" s="394" t="str">
        <f t="shared" si="0"/>
        <v>1995</v>
      </c>
      <c r="AE2" s="394" t="str">
        <f t="shared" si="0"/>
        <v>1996</v>
      </c>
      <c r="AF2" s="394" t="str">
        <f t="shared" si="0"/>
        <v>1997</v>
      </c>
      <c r="AG2" s="394" t="str">
        <f t="shared" si="0"/>
        <v>1998</v>
      </c>
      <c r="AH2" s="394" t="str">
        <f t="shared" si="0"/>
        <v>1999</v>
      </c>
      <c r="AI2" s="394" t="str">
        <f t="shared" si="0"/>
        <v>2000</v>
      </c>
      <c r="AJ2" s="394" t="str">
        <f t="shared" si="0"/>
        <v>2001</v>
      </c>
      <c r="AK2" s="394" t="str">
        <f t="shared" si="0"/>
        <v>2002</v>
      </c>
      <c r="AL2" s="394" t="str">
        <f t="shared" si="0"/>
        <v>2003</v>
      </c>
      <c r="AM2" s="394" t="str">
        <f t="shared" si="0"/>
        <v>2004</v>
      </c>
      <c r="AN2" s="394" t="str">
        <f t="shared" si="0"/>
        <v>2005</v>
      </c>
      <c r="AO2" s="394" t="str">
        <f t="shared" si="0"/>
        <v>2006</v>
      </c>
      <c r="AP2" s="394" t="str">
        <f t="shared" si="0"/>
        <v>2007</v>
      </c>
      <c r="AQ2" s="394" t="str">
        <f t="shared" ref="AQ2:BB2" si="1">+Q2</f>
        <v>2008</v>
      </c>
      <c r="AR2" s="394" t="str">
        <f t="shared" si="1"/>
        <v>2009</v>
      </c>
      <c r="AS2" s="394" t="str">
        <f t="shared" si="1"/>
        <v>2010</v>
      </c>
      <c r="AT2" s="394" t="str">
        <f t="shared" si="1"/>
        <v>2011</v>
      </c>
      <c r="AU2" s="394">
        <f t="shared" si="1"/>
        <v>2012</v>
      </c>
      <c r="AV2" s="394">
        <f t="shared" si="1"/>
        <v>2013</v>
      </c>
      <c r="AW2" s="394">
        <f t="shared" si="1"/>
        <v>2014</v>
      </c>
      <c r="AX2" s="394">
        <f t="shared" si="1"/>
        <v>2015</v>
      </c>
      <c r="AY2" s="394">
        <f t="shared" si="1"/>
        <v>2016</v>
      </c>
      <c r="AZ2" s="394">
        <f t="shared" si="1"/>
        <v>2017</v>
      </c>
      <c r="BA2" s="394">
        <f t="shared" si="1"/>
        <v>2018</v>
      </c>
      <c r="BB2" s="394">
        <f t="shared" si="1"/>
        <v>2019</v>
      </c>
    </row>
    <row r="3" spans="1:54" x14ac:dyDescent="0.25">
      <c r="A3" s="354" t="s">
        <v>2856</v>
      </c>
      <c r="B3" s="354" t="s">
        <v>3753</v>
      </c>
      <c r="C3" s="354" t="s">
        <v>3753</v>
      </c>
      <c r="D3" s="354" t="s">
        <v>3753</v>
      </c>
      <c r="E3" s="354" t="s">
        <v>3753</v>
      </c>
      <c r="F3" s="354" t="s">
        <v>3753</v>
      </c>
      <c r="G3" s="354" t="s">
        <v>3753</v>
      </c>
      <c r="H3" s="354" t="s">
        <v>3753</v>
      </c>
      <c r="I3" s="354" t="s">
        <v>3753</v>
      </c>
      <c r="J3" s="354" t="s">
        <v>3753</v>
      </c>
      <c r="K3" s="354" t="s">
        <v>3753</v>
      </c>
      <c r="L3" s="354" t="s">
        <v>3753</v>
      </c>
      <c r="M3" s="354" t="s">
        <v>3753</v>
      </c>
      <c r="N3" s="354" t="s">
        <v>3753</v>
      </c>
      <c r="O3" s="354" t="s">
        <v>3753</v>
      </c>
      <c r="P3" s="354" t="s">
        <v>3753</v>
      </c>
      <c r="Q3" s="354" t="s">
        <v>3753</v>
      </c>
      <c r="R3" s="354" t="s">
        <v>3753</v>
      </c>
      <c r="S3" s="354" t="s">
        <v>3753</v>
      </c>
      <c r="T3" s="354" t="s">
        <v>3753</v>
      </c>
      <c r="U3" s="354" t="s">
        <v>3753</v>
      </c>
      <c r="V3" s="354" t="s">
        <v>3753</v>
      </c>
      <c r="W3" s="354" t="s">
        <v>3753</v>
      </c>
      <c r="X3" s="354" t="s">
        <v>3753</v>
      </c>
      <c r="Y3" s="354" t="s">
        <v>3753</v>
      </c>
      <c r="Z3" s="354" t="s">
        <v>3753</v>
      </c>
      <c r="AA3" s="354" t="s">
        <v>3753</v>
      </c>
      <c r="AB3" s="354" t="s">
        <v>3753</v>
      </c>
      <c r="AC3" s="395" t="s">
        <v>2196</v>
      </c>
      <c r="AD3" s="395" t="s">
        <v>2196</v>
      </c>
      <c r="AE3" s="395" t="s">
        <v>2196</v>
      </c>
      <c r="AF3" s="395" t="s">
        <v>2196</v>
      </c>
      <c r="AG3" s="395" t="s">
        <v>2196</v>
      </c>
      <c r="AH3" s="395" t="s">
        <v>2196</v>
      </c>
      <c r="AI3" s="395" t="s">
        <v>2196</v>
      </c>
      <c r="AJ3" s="395" t="s">
        <v>2196</v>
      </c>
      <c r="AK3" s="395" t="s">
        <v>2196</v>
      </c>
      <c r="AL3" s="395" t="s">
        <v>2196</v>
      </c>
      <c r="AM3" s="395" t="s">
        <v>2196</v>
      </c>
      <c r="AN3" s="395" t="s">
        <v>2196</v>
      </c>
      <c r="AO3" s="395" t="s">
        <v>2196</v>
      </c>
      <c r="AP3" s="395" t="s">
        <v>2196</v>
      </c>
      <c r="AQ3" s="395" t="s">
        <v>2196</v>
      </c>
      <c r="AR3" s="395" t="s">
        <v>2196</v>
      </c>
      <c r="AS3" s="395" t="s">
        <v>2196</v>
      </c>
      <c r="AT3" s="395" t="s">
        <v>2196</v>
      </c>
      <c r="AU3" s="395" t="s">
        <v>2196</v>
      </c>
      <c r="AV3" s="395" t="s">
        <v>2196</v>
      </c>
      <c r="AW3" s="395" t="s">
        <v>2196</v>
      </c>
      <c r="AX3" s="395" t="s">
        <v>2196</v>
      </c>
      <c r="AY3" s="395" t="s">
        <v>2196</v>
      </c>
      <c r="AZ3" s="395" t="s">
        <v>2196</v>
      </c>
      <c r="BA3" s="395" t="s">
        <v>2196</v>
      </c>
      <c r="BB3" s="395" t="s">
        <v>2196</v>
      </c>
    </row>
    <row r="4" spans="1:54" x14ac:dyDescent="0.25">
      <c r="A4" s="358"/>
      <c r="R4" s="359"/>
      <c r="S4" s="377"/>
      <c r="AC4" s="392" t="s">
        <v>3746</v>
      </c>
      <c r="AD4" s="392" t="s">
        <v>3746</v>
      </c>
      <c r="AE4" s="392" t="s">
        <v>3746</v>
      </c>
      <c r="AF4" s="392" t="s">
        <v>3746</v>
      </c>
      <c r="AG4" s="392" t="s">
        <v>3746</v>
      </c>
      <c r="AH4" s="392" t="s">
        <v>3746</v>
      </c>
      <c r="AI4" s="392" t="s">
        <v>3746</v>
      </c>
      <c r="AJ4" s="392" t="s">
        <v>3746</v>
      </c>
      <c r="AK4" s="392" t="s">
        <v>3746</v>
      </c>
      <c r="AL4" s="392" t="s">
        <v>3746</v>
      </c>
      <c r="AM4" s="392" t="s">
        <v>3746</v>
      </c>
      <c r="AN4" s="392" t="s">
        <v>3746</v>
      </c>
      <c r="AO4" s="392" t="s">
        <v>3746</v>
      </c>
      <c r="AP4" s="392" t="s">
        <v>3746</v>
      </c>
      <c r="AQ4" s="392" t="s">
        <v>3746</v>
      </c>
    </row>
    <row r="5" spans="1:54" x14ac:dyDescent="0.25">
      <c r="A5" s="360" t="s">
        <v>4338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>
        <f>1258/1800</f>
        <v>0.69889999999999997</v>
      </c>
      <c r="Z5" s="480">
        <f>1258/1800</f>
        <v>0.69889999999999997</v>
      </c>
      <c r="AA5" s="480">
        <v>0.65100000000000002</v>
      </c>
      <c r="AB5" s="480"/>
      <c r="AC5" s="393" t="e">
        <f t="shared" ref="AC5:AC68" si="2">(+C5-B5)/B5*100</f>
        <v>#DIV/0!</v>
      </c>
      <c r="AD5" s="393" t="e">
        <f t="shared" ref="AD5:AD68" si="3">(+D5-C5)/C5*100</f>
        <v>#DIV/0!</v>
      </c>
      <c r="AE5" s="393" t="e">
        <f t="shared" ref="AE5:AE68" si="4">(+E5-D5)/D5*100</f>
        <v>#DIV/0!</v>
      </c>
      <c r="AF5" s="393" t="e">
        <f t="shared" ref="AF5:AF68" si="5">(+F5-E5)/E5*100</f>
        <v>#DIV/0!</v>
      </c>
      <c r="AG5" s="393" t="e">
        <f t="shared" ref="AG5:AG68" si="6">(+G5-F5)/F5*100</f>
        <v>#DIV/0!</v>
      </c>
      <c r="AH5" s="393" t="e">
        <f t="shared" ref="AH5:AH68" si="7">(+H5-G5)/G5*100</f>
        <v>#DIV/0!</v>
      </c>
      <c r="AI5" s="393" t="e">
        <f t="shared" ref="AI5:AI68" si="8">(+I5-H5)/H5*100</f>
        <v>#DIV/0!</v>
      </c>
      <c r="AJ5" s="393" t="e">
        <f t="shared" ref="AJ5:AJ68" si="9">(+J5-I5)/I5*100</f>
        <v>#DIV/0!</v>
      </c>
      <c r="AK5" s="393" t="e">
        <f t="shared" ref="AK5:AK68" si="10">(+K5-J5)/J5*100</f>
        <v>#DIV/0!</v>
      </c>
      <c r="AL5" s="393" t="e">
        <f t="shared" ref="AL5:AL68" si="11">(+L5-K5)/K5*100</f>
        <v>#DIV/0!</v>
      </c>
      <c r="AM5" s="393" t="e">
        <f t="shared" ref="AM5:AM68" si="12">(+M5-L5)/L5*100</f>
        <v>#DIV/0!</v>
      </c>
      <c r="AN5" s="393" t="e">
        <f t="shared" ref="AN5:AN68" si="13">(+N5-M5)/M5*100</f>
        <v>#DIV/0!</v>
      </c>
      <c r="AO5" s="393" t="e">
        <f t="shared" ref="AO5:AO68" si="14">(+O5-N5)/N5*100</f>
        <v>#DIV/0!</v>
      </c>
      <c r="AP5" s="393" t="e">
        <f t="shared" ref="AP5:AP68" si="15">(+P5-O5)/O5*100</f>
        <v>#DIV/0!</v>
      </c>
      <c r="AQ5" s="393" t="e">
        <f t="shared" ref="AQ5:AQ68" si="16">(+Q5-P5)/P5*100</f>
        <v>#DIV/0!</v>
      </c>
      <c r="AR5" s="393" t="e">
        <f t="shared" ref="AR5:AR68" si="17">(+R5-Q5)/Q5*100</f>
        <v>#DIV/0!</v>
      </c>
      <c r="AS5" s="393" t="e">
        <f t="shared" ref="AS5:AS68" si="18">(+S5-R5)/R5*100</f>
        <v>#DIV/0!</v>
      </c>
      <c r="AT5" s="393" t="e">
        <f t="shared" ref="AT5:AT68" si="19">(+T5-S5)/S5*100</f>
        <v>#DIV/0!</v>
      </c>
      <c r="AU5" s="393" t="e">
        <f t="shared" ref="AU5:AU68" si="20">(+U5-T5)/T5*100</f>
        <v>#DIV/0!</v>
      </c>
      <c r="AV5" s="393" t="e">
        <f t="shared" ref="AV5:AV68" si="21">(+V5-U5)/U5*100</f>
        <v>#DIV/0!</v>
      </c>
      <c r="AW5" s="393" t="e">
        <f t="shared" ref="AW5:AW68" si="22">(+W5-V5)/V5*100</f>
        <v>#DIV/0!</v>
      </c>
      <c r="AX5" s="393" t="e">
        <f t="shared" ref="AX5:AX68" si="23">(+X5-W5)/W5*100</f>
        <v>#DIV/0!</v>
      </c>
      <c r="AY5" s="393" t="e">
        <f t="shared" ref="AY5:AY68" si="24">(+Y5-X5)/X5*100</f>
        <v>#DIV/0!</v>
      </c>
      <c r="AZ5" s="393">
        <f t="shared" ref="AZ5:AZ68" si="25">(+Z5-Y5)/Y5*100</f>
        <v>0</v>
      </c>
      <c r="BA5" s="393">
        <f t="shared" ref="BA5:BA68" si="26">(+AA5-Z5)/Z5*100</f>
        <v>-6.8540000000000001</v>
      </c>
      <c r="BB5" s="393">
        <f t="shared" ref="BB5:BB68" si="27">(+AB5-AA5)/AA5*100</f>
        <v>-100</v>
      </c>
    </row>
    <row r="6" spans="1:54" x14ac:dyDescent="0.25">
      <c r="A6" s="360" t="s">
        <v>4547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>
        <f>1088/1800</f>
        <v>0.60440000000000005</v>
      </c>
      <c r="AA6" s="480">
        <v>0.57099999999999995</v>
      </c>
      <c r="AB6" s="480"/>
      <c r="AC6" s="393" t="e">
        <f t="shared" si="2"/>
        <v>#DIV/0!</v>
      </c>
      <c r="AD6" s="393" t="e">
        <f t="shared" si="3"/>
        <v>#DIV/0!</v>
      </c>
      <c r="AE6" s="393" t="e">
        <f t="shared" si="4"/>
        <v>#DIV/0!</v>
      </c>
      <c r="AF6" s="393" t="e">
        <f t="shared" si="5"/>
        <v>#DIV/0!</v>
      </c>
      <c r="AG6" s="393" t="e">
        <f t="shared" si="6"/>
        <v>#DIV/0!</v>
      </c>
      <c r="AH6" s="393" t="e">
        <f t="shared" si="7"/>
        <v>#DIV/0!</v>
      </c>
      <c r="AI6" s="393" t="e">
        <f t="shared" si="8"/>
        <v>#DIV/0!</v>
      </c>
      <c r="AJ6" s="393" t="e">
        <f t="shared" si="9"/>
        <v>#DIV/0!</v>
      </c>
      <c r="AK6" s="393" t="e">
        <f t="shared" si="10"/>
        <v>#DIV/0!</v>
      </c>
      <c r="AL6" s="393" t="e">
        <f t="shared" si="11"/>
        <v>#DIV/0!</v>
      </c>
      <c r="AM6" s="393" t="e">
        <f t="shared" si="12"/>
        <v>#DIV/0!</v>
      </c>
      <c r="AN6" s="393" t="e">
        <f t="shared" si="13"/>
        <v>#DIV/0!</v>
      </c>
      <c r="AO6" s="393" t="e">
        <f t="shared" si="14"/>
        <v>#DIV/0!</v>
      </c>
      <c r="AP6" s="393" t="e">
        <f t="shared" si="15"/>
        <v>#DIV/0!</v>
      </c>
      <c r="AQ6" s="393" t="e">
        <f t="shared" si="16"/>
        <v>#DIV/0!</v>
      </c>
      <c r="AR6" s="393" t="e">
        <f t="shared" si="17"/>
        <v>#DIV/0!</v>
      </c>
      <c r="AS6" s="393" t="e">
        <f t="shared" si="18"/>
        <v>#DIV/0!</v>
      </c>
      <c r="AT6" s="393" t="e">
        <f t="shared" si="19"/>
        <v>#DIV/0!</v>
      </c>
      <c r="AU6" s="393" t="e">
        <f t="shared" si="20"/>
        <v>#DIV/0!</v>
      </c>
      <c r="AV6" s="393" t="e">
        <f t="shared" si="21"/>
        <v>#DIV/0!</v>
      </c>
      <c r="AW6" s="393" t="e">
        <f t="shared" si="22"/>
        <v>#DIV/0!</v>
      </c>
      <c r="AX6" s="393" t="e">
        <f t="shared" si="23"/>
        <v>#DIV/0!</v>
      </c>
      <c r="AY6" s="393" t="e">
        <f t="shared" si="24"/>
        <v>#DIV/0!</v>
      </c>
      <c r="AZ6" s="393" t="e">
        <f t="shared" si="25"/>
        <v>#DIV/0!</v>
      </c>
      <c r="BA6" s="393">
        <f t="shared" si="26"/>
        <v>-5.5259999999999998</v>
      </c>
      <c r="BB6" s="393">
        <f t="shared" si="27"/>
        <v>-100</v>
      </c>
    </row>
    <row r="7" spans="1:54" x14ac:dyDescent="0.25">
      <c r="A7" s="360" t="s">
        <v>4543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80">
        <f>1117/1800</f>
        <v>0.62060000000000004</v>
      </c>
      <c r="AA7" s="480">
        <v>0.60599999999999998</v>
      </c>
      <c r="AB7" s="480"/>
      <c r="AC7" s="393" t="e">
        <f t="shared" si="2"/>
        <v>#DIV/0!</v>
      </c>
      <c r="AD7" s="393" t="e">
        <f t="shared" si="3"/>
        <v>#DIV/0!</v>
      </c>
      <c r="AE7" s="393" t="e">
        <f t="shared" si="4"/>
        <v>#DIV/0!</v>
      </c>
      <c r="AF7" s="393" t="e">
        <f t="shared" si="5"/>
        <v>#DIV/0!</v>
      </c>
      <c r="AG7" s="393" t="e">
        <f t="shared" si="6"/>
        <v>#DIV/0!</v>
      </c>
      <c r="AH7" s="393" t="e">
        <f t="shared" si="7"/>
        <v>#DIV/0!</v>
      </c>
      <c r="AI7" s="393" t="e">
        <f t="shared" si="8"/>
        <v>#DIV/0!</v>
      </c>
      <c r="AJ7" s="393" t="e">
        <f t="shared" si="9"/>
        <v>#DIV/0!</v>
      </c>
      <c r="AK7" s="393" t="e">
        <f t="shared" si="10"/>
        <v>#DIV/0!</v>
      </c>
      <c r="AL7" s="393" t="e">
        <f t="shared" si="11"/>
        <v>#DIV/0!</v>
      </c>
      <c r="AM7" s="393" t="e">
        <f t="shared" si="12"/>
        <v>#DIV/0!</v>
      </c>
      <c r="AN7" s="393" t="e">
        <f t="shared" si="13"/>
        <v>#DIV/0!</v>
      </c>
      <c r="AO7" s="393" t="e">
        <f t="shared" si="14"/>
        <v>#DIV/0!</v>
      </c>
      <c r="AP7" s="393" t="e">
        <f t="shared" si="15"/>
        <v>#DIV/0!</v>
      </c>
      <c r="AQ7" s="393" t="e">
        <f t="shared" si="16"/>
        <v>#DIV/0!</v>
      </c>
      <c r="AR7" s="393" t="e">
        <f t="shared" si="17"/>
        <v>#DIV/0!</v>
      </c>
      <c r="AS7" s="393" t="e">
        <f t="shared" si="18"/>
        <v>#DIV/0!</v>
      </c>
      <c r="AT7" s="393" t="e">
        <f t="shared" si="19"/>
        <v>#DIV/0!</v>
      </c>
      <c r="AU7" s="393" t="e">
        <f t="shared" si="20"/>
        <v>#DIV/0!</v>
      </c>
      <c r="AV7" s="393" t="e">
        <f t="shared" si="21"/>
        <v>#DIV/0!</v>
      </c>
      <c r="AW7" s="393" t="e">
        <f t="shared" si="22"/>
        <v>#DIV/0!</v>
      </c>
      <c r="AX7" s="393" t="e">
        <f t="shared" si="23"/>
        <v>#DIV/0!</v>
      </c>
      <c r="AY7" s="393" t="e">
        <f t="shared" si="24"/>
        <v>#DIV/0!</v>
      </c>
      <c r="AZ7" s="393" t="e">
        <f t="shared" si="25"/>
        <v>#DIV/0!</v>
      </c>
      <c r="BA7" s="393">
        <f t="shared" si="26"/>
        <v>-2.3530000000000002</v>
      </c>
      <c r="BB7" s="393">
        <f t="shared" si="27"/>
        <v>-100</v>
      </c>
    </row>
    <row r="8" spans="1:54" x14ac:dyDescent="0.25">
      <c r="A8" s="361" t="s">
        <v>1103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1"/>
      <c r="W8" s="481"/>
      <c r="X8" s="481"/>
      <c r="Y8" s="481">
        <f>1234/1800</f>
        <v>0.68559999999999999</v>
      </c>
      <c r="Z8" s="481">
        <f>1298/1800</f>
        <v>0.72109999999999996</v>
      </c>
      <c r="AA8" s="481">
        <v>0.72499999999999998</v>
      </c>
      <c r="AB8" s="481"/>
      <c r="AC8" s="393" t="e">
        <f t="shared" si="2"/>
        <v>#DIV/0!</v>
      </c>
      <c r="AD8" s="393" t="e">
        <f t="shared" si="3"/>
        <v>#DIV/0!</v>
      </c>
      <c r="AE8" s="393" t="e">
        <f t="shared" si="4"/>
        <v>#DIV/0!</v>
      </c>
      <c r="AF8" s="393" t="e">
        <f t="shared" si="5"/>
        <v>#DIV/0!</v>
      </c>
      <c r="AG8" s="393" t="e">
        <f t="shared" si="6"/>
        <v>#DIV/0!</v>
      </c>
      <c r="AH8" s="393" t="e">
        <f t="shared" si="7"/>
        <v>#DIV/0!</v>
      </c>
      <c r="AI8" s="393" t="e">
        <f t="shared" si="8"/>
        <v>#DIV/0!</v>
      </c>
      <c r="AJ8" s="393" t="e">
        <f t="shared" si="9"/>
        <v>#DIV/0!</v>
      </c>
      <c r="AK8" s="393" t="e">
        <f t="shared" si="10"/>
        <v>#DIV/0!</v>
      </c>
      <c r="AL8" s="393" t="e">
        <f t="shared" si="11"/>
        <v>#DIV/0!</v>
      </c>
      <c r="AM8" s="393" t="e">
        <f t="shared" si="12"/>
        <v>#DIV/0!</v>
      </c>
      <c r="AN8" s="393" t="e">
        <f t="shared" si="13"/>
        <v>#DIV/0!</v>
      </c>
      <c r="AO8" s="393" t="e">
        <f t="shared" si="14"/>
        <v>#DIV/0!</v>
      </c>
      <c r="AP8" s="393" t="e">
        <f t="shared" si="15"/>
        <v>#DIV/0!</v>
      </c>
      <c r="AQ8" s="393" t="e">
        <f t="shared" si="16"/>
        <v>#DIV/0!</v>
      </c>
      <c r="AR8" s="393" t="e">
        <f t="shared" si="17"/>
        <v>#DIV/0!</v>
      </c>
      <c r="AS8" s="393" t="e">
        <f t="shared" si="18"/>
        <v>#DIV/0!</v>
      </c>
      <c r="AT8" s="393" t="e">
        <f t="shared" si="19"/>
        <v>#DIV/0!</v>
      </c>
      <c r="AU8" s="393" t="e">
        <f t="shared" si="20"/>
        <v>#DIV/0!</v>
      </c>
      <c r="AV8" s="393" t="e">
        <f t="shared" si="21"/>
        <v>#DIV/0!</v>
      </c>
      <c r="AW8" s="393" t="e">
        <f t="shared" si="22"/>
        <v>#DIV/0!</v>
      </c>
      <c r="AX8" s="393" t="e">
        <f t="shared" si="23"/>
        <v>#DIV/0!</v>
      </c>
      <c r="AY8" s="393" t="e">
        <f t="shared" si="24"/>
        <v>#DIV/0!</v>
      </c>
      <c r="AZ8" s="393">
        <f t="shared" si="25"/>
        <v>5.1779999999999999</v>
      </c>
      <c r="BA8" s="393">
        <f t="shared" si="26"/>
        <v>0.54100000000000004</v>
      </c>
      <c r="BB8" s="393">
        <f t="shared" si="27"/>
        <v>-100</v>
      </c>
    </row>
    <row r="9" spans="1:54" x14ac:dyDescent="0.25">
      <c r="A9" s="360" t="s">
        <v>4532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>
        <f>1184/1800</f>
        <v>0.65780000000000005</v>
      </c>
      <c r="AA9" s="480">
        <v>0.67300000000000004</v>
      </c>
      <c r="AB9" s="480"/>
      <c r="AC9" s="393" t="e">
        <f t="shared" si="2"/>
        <v>#DIV/0!</v>
      </c>
      <c r="AD9" s="393" t="e">
        <f t="shared" si="3"/>
        <v>#DIV/0!</v>
      </c>
      <c r="AE9" s="393" t="e">
        <f t="shared" si="4"/>
        <v>#DIV/0!</v>
      </c>
      <c r="AF9" s="393" t="e">
        <f t="shared" si="5"/>
        <v>#DIV/0!</v>
      </c>
      <c r="AG9" s="393" t="e">
        <f t="shared" si="6"/>
        <v>#DIV/0!</v>
      </c>
      <c r="AH9" s="393" t="e">
        <f t="shared" si="7"/>
        <v>#DIV/0!</v>
      </c>
      <c r="AI9" s="393" t="e">
        <f t="shared" si="8"/>
        <v>#DIV/0!</v>
      </c>
      <c r="AJ9" s="393" t="e">
        <f t="shared" si="9"/>
        <v>#DIV/0!</v>
      </c>
      <c r="AK9" s="393" t="e">
        <f t="shared" si="10"/>
        <v>#DIV/0!</v>
      </c>
      <c r="AL9" s="393" t="e">
        <f t="shared" si="11"/>
        <v>#DIV/0!</v>
      </c>
      <c r="AM9" s="393" t="e">
        <f t="shared" si="12"/>
        <v>#DIV/0!</v>
      </c>
      <c r="AN9" s="393" t="e">
        <f t="shared" si="13"/>
        <v>#DIV/0!</v>
      </c>
      <c r="AO9" s="393" t="e">
        <f t="shared" si="14"/>
        <v>#DIV/0!</v>
      </c>
      <c r="AP9" s="393" t="e">
        <f t="shared" si="15"/>
        <v>#DIV/0!</v>
      </c>
      <c r="AQ9" s="393" t="e">
        <f t="shared" si="16"/>
        <v>#DIV/0!</v>
      </c>
      <c r="AR9" s="393" t="e">
        <f t="shared" si="17"/>
        <v>#DIV/0!</v>
      </c>
      <c r="AS9" s="393" t="e">
        <f t="shared" si="18"/>
        <v>#DIV/0!</v>
      </c>
      <c r="AT9" s="393" t="e">
        <f t="shared" si="19"/>
        <v>#DIV/0!</v>
      </c>
      <c r="AU9" s="393" t="e">
        <f t="shared" si="20"/>
        <v>#DIV/0!</v>
      </c>
      <c r="AV9" s="393" t="e">
        <f t="shared" si="21"/>
        <v>#DIV/0!</v>
      </c>
      <c r="AW9" s="393" t="e">
        <f t="shared" si="22"/>
        <v>#DIV/0!</v>
      </c>
      <c r="AX9" s="393" t="e">
        <f t="shared" si="23"/>
        <v>#DIV/0!</v>
      </c>
      <c r="AY9" s="393" t="e">
        <f t="shared" si="24"/>
        <v>#DIV/0!</v>
      </c>
      <c r="AZ9" s="393" t="e">
        <f t="shared" si="25"/>
        <v>#DIV/0!</v>
      </c>
      <c r="BA9" s="393">
        <f t="shared" si="26"/>
        <v>2.3109999999999999</v>
      </c>
      <c r="BB9" s="393">
        <f t="shared" si="27"/>
        <v>-100</v>
      </c>
    </row>
    <row r="10" spans="1:54" x14ac:dyDescent="0.25">
      <c r="A10" s="361" t="s">
        <v>987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1"/>
      <c r="W10" s="481">
        <f>668/1200</f>
        <v>0.55669999999999997</v>
      </c>
      <c r="X10" s="481">
        <f>1202/1800</f>
        <v>0.66779999999999995</v>
      </c>
      <c r="Y10" s="481">
        <f>1299/1800</f>
        <v>0.72170000000000001</v>
      </c>
      <c r="Z10" s="481">
        <f>1229/1800</f>
        <v>0.68279999999999996</v>
      </c>
      <c r="AA10" s="481">
        <v>0.70399999999999996</v>
      </c>
      <c r="AB10" s="481"/>
      <c r="AC10" s="393" t="e">
        <f t="shared" si="2"/>
        <v>#DIV/0!</v>
      </c>
      <c r="AD10" s="393" t="e">
        <f t="shared" si="3"/>
        <v>#DIV/0!</v>
      </c>
      <c r="AE10" s="393" t="e">
        <f t="shared" si="4"/>
        <v>#DIV/0!</v>
      </c>
      <c r="AF10" s="393" t="e">
        <f t="shared" si="5"/>
        <v>#DIV/0!</v>
      </c>
      <c r="AG10" s="393" t="e">
        <f t="shared" si="6"/>
        <v>#DIV/0!</v>
      </c>
      <c r="AH10" s="393" t="e">
        <f t="shared" si="7"/>
        <v>#DIV/0!</v>
      </c>
      <c r="AI10" s="393" t="e">
        <f t="shared" si="8"/>
        <v>#DIV/0!</v>
      </c>
      <c r="AJ10" s="393" t="e">
        <f t="shared" si="9"/>
        <v>#DIV/0!</v>
      </c>
      <c r="AK10" s="393" t="e">
        <f t="shared" si="10"/>
        <v>#DIV/0!</v>
      </c>
      <c r="AL10" s="393" t="e">
        <f t="shared" si="11"/>
        <v>#DIV/0!</v>
      </c>
      <c r="AM10" s="393" t="e">
        <f t="shared" si="12"/>
        <v>#DIV/0!</v>
      </c>
      <c r="AN10" s="393" t="e">
        <f t="shared" si="13"/>
        <v>#DIV/0!</v>
      </c>
      <c r="AO10" s="393" t="e">
        <f t="shared" si="14"/>
        <v>#DIV/0!</v>
      </c>
      <c r="AP10" s="393" t="e">
        <f t="shared" si="15"/>
        <v>#DIV/0!</v>
      </c>
      <c r="AQ10" s="393" t="e">
        <f t="shared" si="16"/>
        <v>#DIV/0!</v>
      </c>
      <c r="AR10" s="393" t="e">
        <f t="shared" si="17"/>
        <v>#DIV/0!</v>
      </c>
      <c r="AS10" s="393" t="e">
        <f t="shared" si="18"/>
        <v>#DIV/0!</v>
      </c>
      <c r="AT10" s="393" t="e">
        <f t="shared" si="19"/>
        <v>#DIV/0!</v>
      </c>
      <c r="AU10" s="393" t="e">
        <f t="shared" si="20"/>
        <v>#DIV/0!</v>
      </c>
      <c r="AV10" s="393" t="e">
        <f t="shared" si="21"/>
        <v>#DIV/0!</v>
      </c>
      <c r="AW10" s="393" t="e">
        <f t="shared" si="22"/>
        <v>#DIV/0!</v>
      </c>
      <c r="AX10" s="393">
        <f t="shared" si="23"/>
        <v>19.957000000000001</v>
      </c>
      <c r="AY10" s="393">
        <f t="shared" si="24"/>
        <v>8.0709999999999997</v>
      </c>
      <c r="AZ10" s="393">
        <f t="shared" si="25"/>
        <v>-5.39</v>
      </c>
      <c r="BA10" s="393">
        <f t="shared" si="26"/>
        <v>3.105</v>
      </c>
      <c r="BB10" s="393">
        <f t="shared" si="27"/>
        <v>-100</v>
      </c>
    </row>
    <row r="11" spans="1:54" x14ac:dyDescent="0.25">
      <c r="A11" s="361" t="s">
        <v>4465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>
        <f>1270/1800</f>
        <v>0.7056</v>
      </c>
      <c r="Z11" s="480">
        <f>1359/1800</f>
        <v>0.755</v>
      </c>
      <c r="AA11" s="480">
        <v>0.78600000000000003</v>
      </c>
      <c r="AB11" s="480"/>
      <c r="AC11" s="393" t="e">
        <f t="shared" si="2"/>
        <v>#DIV/0!</v>
      </c>
      <c r="AD11" s="393" t="e">
        <f t="shared" si="3"/>
        <v>#DIV/0!</v>
      </c>
      <c r="AE11" s="393" t="e">
        <f t="shared" si="4"/>
        <v>#DIV/0!</v>
      </c>
      <c r="AF11" s="393" t="e">
        <f t="shared" si="5"/>
        <v>#DIV/0!</v>
      </c>
      <c r="AG11" s="393" t="e">
        <f t="shared" si="6"/>
        <v>#DIV/0!</v>
      </c>
      <c r="AH11" s="393" t="e">
        <f t="shared" si="7"/>
        <v>#DIV/0!</v>
      </c>
      <c r="AI11" s="393" t="e">
        <f t="shared" si="8"/>
        <v>#DIV/0!</v>
      </c>
      <c r="AJ11" s="393" t="e">
        <f t="shared" si="9"/>
        <v>#DIV/0!</v>
      </c>
      <c r="AK11" s="393" t="e">
        <f t="shared" si="10"/>
        <v>#DIV/0!</v>
      </c>
      <c r="AL11" s="393" t="e">
        <f t="shared" si="11"/>
        <v>#DIV/0!</v>
      </c>
      <c r="AM11" s="393" t="e">
        <f t="shared" si="12"/>
        <v>#DIV/0!</v>
      </c>
      <c r="AN11" s="393" t="e">
        <f t="shared" si="13"/>
        <v>#DIV/0!</v>
      </c>
      <c r="AO11" s="393" t="e">
        <f t="shared" si="14"/>
        <v>#DIV/0!</v>
      </c>
      <c r="AP11" s="393" t="e">
        <f t="shared" si="15"/>
        <v>#DIV/0!</v>
      </c>
      <c r="AQ11" s="393" t="e">
        <f t="shared" si="16"/>
        <v>#DIV/0!</v>
      </c>
      <c r="AR11" s="393" t="e">
        <f t="shared" si="17"/>
        <v>#DIV/0!</v>
      </c>
      <c r="AS11" s="393" t="e">
        <f t="shared" si="18"/>
        <v>#DIV/0!</v>
      </c>
      <c r="AT11" s="393" t="e">
        <f t="shared" si="19"/>
        <v>#DIV/0!</v>
      </c>
      <c r="AU11" s="393" t="e">
        <f t="shared" si="20"/>
        <v>#DIV/0!</v>
      </c>
      <c r="AV11" s="393" t="e">
        <f t="shared" si="21"/>
        <v>#DIV/0!</v>
      </c>
      <c r="AW11" s="393" t="e">
        <f t="shared" si="22"/>
        <v>#DIV/0!</v>
      </c>
      <c r="AX11" s="393" t="e">
        <f t="shared" si="23"/>
        <v>#DIV/0!</v>
      </c>
      <c r="AY11" s="393" t="e">
        <f t="shared" si="24"/>
        <v>#DIV/0!</v>
      </c>
      <c r="AZ11" s="393">
        <f t="shared" si="25"/>
        <v>7.0010000000000003</v>
      </c>
      <c r="BA11" s="393">
        <f t="shared" si="26"/>
        <v>4.1059999999999999</v>
      </c>
      <c r="BB11" s="393">
        <f t="shared" si="27"/>
        <v>-100</v>
      </c>
    </row>
    <row r="12" spans="1:54" x14ac:dyDescent="0.25">
      <c r="A12" s="360" t="s">
        <v>4529</v>
      </c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>
        <f>1214/1800</f>
        <v>0.6744</v>
      </c>
      <c r="AA12" s="480">
        <v>0.70299999999999996</v>
      </c>
      <c r="AB12" s="480"/>
      <c r="AC12" s="393" t="e">
        <f t="shared" si="2"/>
        <v>#DIV/0!</v>
      </c>
      <c r="AD12" s="393" t="e">
        <f t="shared" si="3"/>
        <v>#DIV/0!</v>
      </c>
      <c r="AE12" s="393" t="e">
        <f t="shared" si="4"/>
        <v>#DIV/0!</v>
      </c>
      <c r="AF12" s="393" t="e">
        <f t="shared" si="5"/>
        <v>#DIV/0!</v>
      </c>
      <c r="AG12" s="393" t="e">
        <f t="shared" si="6"/>
        <v>#DIV/0!</v>
      </c>
      <c r="AH12" s="393" t="e">
        <f t="shared" si="7"/>
        <v>#DIV/0!</v>
      </c>
      <c r="AI12" s="393" t="e">
        <f t="shared" si="8"/>
        <v>#DIV/0!</v>
      </c>
      <c r="AJ12" s="393" t="e">
        <f t="shared" si="9"/>
        <v>#DIV/0!</v>
      </c>
      <c r="AK12" s="393" t="e">
        <f t="shared" si="10"/>
        <v>#DIV/0!</v>
      </c>
      <c r="AL12" s="393" t="e">
        <f t="shared" si="11"/>
        <v>#DIV/0!</v>
      </c>
      <c r="AM12" s="393" t="e">
        <f t="shared" si="12"/>
        <v>#DIV/0!</v>
      </c>
      <c r="AN12" s="393" t="e">
        <f t="shared" si="13"/>
        <v>#DIV/0!</v>
      </c>
      <c r="AO12" s="393" t="e">
        <f t="shared" si="14"/>
        <v>#DIV/0!</v>
      </c>
      <c r="AP12" s="393" t="e">
        <f t="shared" si="15"/>
        <v>#DIV/0!</v>
      </c>
      <c r="AQ12" s="393" t="e">
        <f t="shared" si="16"/>
        <v>#DIV/0!</v>
      </c>
      <c r="AR12" s="393" t="e">
        <f t="shared" si="17"/>
        <v>#DIV/0!</v>
      </c>
      <c r="AS12" s="393" t="e">
        <f t="shared" si="18"/>
        <v>#DIV/0!</v>
      </c>
      <c r="AT12" s="393" t="e">
        <f t="shared" si="19"/>
        <v>#DIV/0!</v>
      </c>
      <c r="AU12" s="393" t="e">
        <f t="shared" si="20"/>
        <v>#DIV/0!</v>
      </c>
      <c r="AV12" s="393" t="e">
        <f t="shared" si="21"/>
        <v>#DIV/0!</v>
      </c>
      <c r="AW12" s="393" t="e">
        <f t="shared" si="22"/>
        <v>#DIV/0!</v>
      </c>
      <c r="AX12" s="393" t="e">
        <f t="shared" si="23"/>
        <v>#DIV/0!</v>
      </c>
      <c r="AY12" s="393" t="e">
        <f t="shared" si="24"/>
        <v>#DIV/0!</v>
      </c>
      <c r="AZ12" s="393" t="e">
        <f t="shared" si="25"/>
        <v>#DIV/0!</v>
      </c>
      <c r="BA12" s="393">
        <f t="shared" si="26"/>
        <v>4.2409999999999997</v>
      </c>
      <c r="BB12" s="393">
        <f t="shared" si="27"/>
        <v>-100</v>
      </c>
    </row>
    <row r="13" spans="1:54" x14ac:dyDescent="0.25">
      <c r="A13" s="360" t="s">
        <v>4540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>
        <f>1140/1800</f>
        <v>0.63329999999999997</v>
      </c>
      <c r="AA13" s="480">
        <v>0.68200000000000005</v>
      </c>
      <c r="AB13" s="480"/>
      <c r="AC13" s="393" t="e">
        <f t="shared" si="2"/>
        <v>#DIV/0!</v>
      </c>
      <c r="AD13" s="393" t="e">
        <f t="shared" si="3"/>
        <v>#DIV/0!</v>
      </c>
      <c r="AE13" s="393" t="e">
        <f t="shared" si="4"/>
        <v>#DIV/0!</v>
      </c>
      <c r="AF13" s="393" t="e">
        <f t="shared" si="5"/>
        <v>#DIV/0!</v>
      </c>
      <c r="AG13" s="393" t="e">
        <f t="shared" si="6"/>
        <v>#DIV/0!</v>
      </c>
      <c r="AH13" s="393" t="e">
        <f t="shared" si="7"/>
        <v>#DIV/0!</v>
      </c>
      <c r="AI13" s="393" t="e">
        <f t="shared" si="8"/>
        <v>#DIV/0!</v>
      </c>
      <c r="AJ13" s="393" t="e">
        <f t="shared" si="9"/>
        <v>#DIV/0!</v>
      </c>
      <c r="AK13" s="393" t="e">
        <f t="shared" si="10"/>
        <v>#DIV/0!</v>
      </c>
      <c r="AL13" s="393" t="e">
        <f t="shared" si="11"/>
        <v>#DIV/0!</v>
      </c>
      <c r="AM13" s="393" t="e">
        <f t="shared" si="12"/>
        <v>#DIV/0!</v>
      </c>
      <c r="AN13" s="393" t="e">
        <f t="shared" si="13"/>
        <v>#DIV/0!</v>
      </c>
      <c r="AO13" s="393" t="e">
        <f t="shared" si="14"/>
        <v>#DIV/0!</v>
      </c>
      <c r="AP13" s="393" t="e">
        <f t="shared" si="15"/>
        <v>#DIV/0!</v>
      </c>
      <c r="AQ13" s="393" t="e">
        <f t="shared" si="16"/>
        <v>#DIV/0!</v>
      </c>
      <c r="AR13" s="393" t="e">
        <f t="shared" si="17"/>
        <v>#DIV/0!</v>
      </c>
      <c r="AS13" s="393" t="e">
        <f t="shared" si="18"/>
        <v>#DIV/0!</v>
      </c>
      <c r="AT13" s="393" t="e">
        <f t="shared" si="19"/>
        <v>#DIV/0!</v>
      </c>
      <c r="AU13" s="393" t="e">
        <f t="shared" si="20"/>
        <v>#DIV/0!</v>
      </c>
      <c r="AV13" s="393" t="e">
        <f t="shared" si="21"/>
        <v>#DIV/0!</v>
      </c>
      <c r="AW13" s="393" t="e">
        <f t="shared" si="22"/>
        <v>#DIV/0!</v>
      </c>
      <c r="AX13" s="393" t="e">
        <f t="shared" si="23"/>
        <v>#DIV/0!</v>
      </c>
      <c r="AY13" s="393" t="e">
        <f t="shared" si="24"/>
        <v>#DIV/0!</v>
      </c>
      <c r="AZ13" s="393" t="e">
        <f t="shared" si="25"/>
        <v>#DIV/0!</v>
      </c>
      <c r="BA13" s="393">
        <f t="shared" si="26"/>
        <v>7.69</v>
      </c>
      <c r="BB13" s="393">
        <f t="shared" si="27"/>
        <v>-100</v>
      </c>
    </row>
    <row r="14" spans="1:54" x14ac:dyDescent="0.25">
      <c r="A14" s="360" t="s">
        <v>4722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>
        <v>0.67500000000000004</v>
      </c>
      <c r="AB14" s="480"/>
      <c r="AC14" s="393" t="e">
        <f t="shared" si="2"/>
        <v>#DIV/0!</v>
      </c>
      <c r="AD14" s="393" t="e">
        <f t="shared" si="3"/>
        <v>#DIV/0!</v>
      </c>
      <c r="AE14" s="393" t="e">
        <f t="shared" si="4"/>
        <v>#DIV/0!</v>
      </c>
      <c r="AF14" s="393" t="e">
        <f t="shared" si="5"/>
        <v>#DIV/0!</v>
      </c>
      <c r="AG14" s="393" t="e">
        <f t="shared" si="6"/>
        <v>#DIV/0!</v>
      </c>
      <c r="AH14" s="393" t="e">
        <f t="shared" si="7"/>
        <v>#DIV/0!</v>
      </c>
      <c r="AI14" s="393" t="e">
        <f t="shared" si="8"/>
        <v>#DIV/0!</v>
      </c>
      <c r="AJ14" s="393" t="e">
        <f t="shared" si="9"/>
        <v>#DIV/0!</v>
      </c>
      <c r="AK14" s="393" t="e">
        <f t="shared" si="10"/>
        <v>#DIV/0!</v>
      </c>
      <c r="AL14" s="393" t="e">
        <f t="shared" si="11"/>
        <v>#DIV/0!</v>
      </c>
      <c r="AM14" s="393" t="e">
        <f t="shared" si="12"/>
        <v>#DIV/0!</v>
      </c>
      <c r="AN14" s="393" t="e">
        <f t="shared" si="13"/>
        <v>#DIV/0!</v>
      </c>
      <c r="AO14" s="393" t="e">
        <f t="shared" si="14"/>
        <v>#DIV/0!</v>
      </c>
      <c r="AP14" s="393" t="e">
        <f t="shared" si="15"/>
        <v>#DIV/0!</v>
      </c>
      <c r="AQ14" s="393" t="e">
        <f t="shared" si="16"/>
        <v>#DIV/0!</v>
      </c>
      <c r="AR14" s="393" t="e">
        <f t="shared" si="17"/>
        <v>#DIV/0!</v>
      </c>
      <c r="AS14" s="393" t="e">
        <f t="shared" si="18"/>
        <v>#DIV/0!</v>
      </c>
      <c r="AT14" s="393" t="e">
        <f t="shared" si="19"/>
        <v>#DIV/0!</v>
      </c>
      <c r="AU14" s="393" t="e">
        <f t="shared" si="20"/>
        <v>#DIV/0!</v>
      </c>
      <c r="AV14" s="393" t="e">
        <f t="shared" si="21"/>
        <v>#DIV/0!</v>
      </c>
      <c r="AW14" s="393" t="e">
        <f t="shared" si="22"/>
        <v>#DIV/0!</v>
      </c>
      <c r="AX14" s="393" t="e">
        <f t="shared" si="23"/>
        <v>#DIV/0!</v>
      </c>
      <c r="AY14" s="393" t="e">
        <f t="shared" si="24"/>
        <v>#DIV/0!</v>
      </c>
      <c r="AZ14" s="393" t="e">
        <f t="shared" si="25"/>
        <v>#DIV/0!</v>
      </c>
      <c r="BA14" s="393" t="e">
        <f t="shared" si="26"/>
        <v>#DIV/0!</v>
      </c>
      <c r="BB14" s="393">
        <f t="shared" si="27"/>
        <v>-100</v>
      </c>
    </row>
    <row r="15" spans="1:54" x14ac:dyDescent="0.25">
      <c r="A15" s="361" t="s">
        <v>1564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>
        <f>1032/1800</f>
        <v>0.57330000000000003</v>
      </c>
      <c r="Q15" s="480">
        <f>1112/1800</f>
        <v>0.61780000000000002</v>
      </c>
      <c r="R15" s="480">
        <f>1195/1800</f>
        <v>0.66390000000000005</v>
      </c>
      <c r="S15" s="480">
        <f>1121/1800</f>
        <v>0.62280000000000002</v>
      </c>
      <c r="T15" s="480">
        <f>774/1200</f>
        <v>0.64500000000000002</v>
      </c>
      <c r="U15" s="480"/>
      <c r="V15" s="480"/>
      <c r="W15" s="480"/>
      <c r="X15" s="480"/>
      <c r="Y15" s="480"/>
      <c r="Z15" s="480"/>
      <c r="AA15" s="480">
        <v>0.66400000000000003</v>
      </c>
      <c r="AB15" s="480"/>
      <c r="AC15" s="393" t="e">
        <f t="shared" si="2"/>
        <v>#DIV/0!</v>
      </c>
      <c r="AD15" s="393" t="e">
        <f t="shared" si="3"/>
        <v>#DIV/0!</v>
      </c>
      <c r="AE15" s="393" t="e">
        <f t="shared" si="4"/>
        <v>#DIV/0!</v>
      </c>
      <c r="AF15" s="393" t="e">
        <f t="shared" si="5"/>
        <v>#DIV/0!</v>
      </c>
      <c r="AG15" s="393" t="e">
        <f t="shared" si="6"/>
        <v>#DIV/0!</v>
      </c>
      <c r="AH15" s="393" t="e">
        <f t="shared" si="7"/>
        <v>#DIV/0!</v>
      </c>
      <c r="AI15" s="393" t="e">
        <f t="shared" si="8"/>
        <v>#DIV/0!</v>
      </c>
      <c r="AJ15" s="393" t="e">
        <f t="shared" si="9"/>
        <v>#DIV/0!</v>
      </c>
      <c r="AK15" s="393" t="e">
        <f t="shared" si="10"/>
        <v>#DIV/0!</v>
      </c>
      <c r="AL15" s="393" t="e">
        <f t="shared" si="11"/>
        <v>#DIV/0!</v>
      </c>
      <c r="AM15" s="393" t="e">
        <f t="shared" si="12"/>
        <v>#DIV/0!</v>
      </c>
      <c r="AN15" s="393" t="e">
        <f t="shared" si="13"/>
        <v>#DIV/0!</v>
      </c>
      <c r="AO15" s="393" t="e">
        <f t="shared" si="14"/>
        <v>#DIV/0!</v>
      </c>
      <c r="AP15" s="393" t="e">
        <f t="shared" si="15"/>
        <v>#DIV/0!</v>
      </c>
      <c r="AQ15" s="393">
        <f t="shared" si="16"/>
        <v>7.7619999999999996</v>
      </c>
      <c r="AR15" s="393">
        <f t="shared" si="17"/>
        <v>7.4619999999999997</v>
      </c>
      <c r="AS15" s="393">
        <f t="shared" si="18"/>
        <v>-6.1909999999999998</v>
      </c>
      <c r="AT15" s="393">
        <f t="shared" si="19"/>
        <v>3.5649999999999999</v>
      </c>
      <c r="AU15" s="393">
        <f t="shared" si="20"/>
        <v>-100</v>
      </c>
      <c r="AV15" s="393" t="e">
        <f t="shared" si="21"/>
        <v>#DIV/0!</v>
      </c>
      <c r="AW15" s="393" t="e">
        <f t="shared" si="22"/>
        <v>#DIV/0!</v>
      </c>
      <c r="AX15" s="393" t="e">
        <f t="shared" si="23"/>
        <v>#DIV/0!</v>
      </c>
      <c r="AY15" s="393" t="e">
        <f t="shared" si="24"/>
        <v>#DIV/0!</v>
      </c>
      <c r="AZ15" s="393" t="e">
        <f t="shared" si="25"/>
        <v>#DIV/0!</v>
      </c>
      <c r="BA15" s="393" t="e">
        <f t="shared" si="26"/>
        <v>#DIV/0!</v>
      </c>
      <c r="BB15" s="393">
        <f t="shared" si="27"/>
        <v>-100</v>
      </c>
    </row>
    <row r="16" spans="1:54" x14ac:dyDescent="0.25">
      <c r="A16" s="361" t="s">
        <v>412</v>
      </c>
      <c r="B16" s="480"/>
      <c r="C16" s="480"/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>
        <f>1102/1800</f>
        <v>0.61219999999999997</v>
      </c>
      <c r="Q16" s="480">
        <f>1185/1800</f>
        <v>0.6583</v>
      </c>
      <c r="R16" s="480">
        <f>1220/1800</f>
        <v>0.67779999999999996</v>
      </c>
      <c r="S16" s="480">
        <f>1236/1800</f>
        <v>0.68669999999999998</v>
      </c>
      <c r="T16" s="480">
        <f>858/1200</f>
        <v>0.71499999999999997</v>
      </c>
      <c r="U16" s="480"/>
      <c r="V16" s="480"/>
      <c r="W16" s="480"/>
      <c r="X16" s="480"/>
      <c r="Y16" s="480"/>
      <c r="Z16" s="480"/>
      <c r="AA16" s="480">
        <v>0.66400000000000003</v>
      </c>
      <c r="AB16" s="480"/>
      <c r="AC16" s="393" t="e">
        <f t="shared" si="2"/>
        <v>#DIV/0!</v>
      </c>
      <c r="AD16" s="393" t="e">
        <f t="shared" si="3"/>
        <v>#DIV/0!</v>
      </c>
      <c r="AE16" s="393" t="e">
        <f t="shared" si="4"/>
        <v>#DIV/0!</v>
      </c>
      <c r="AF16" s="393" t="e">
        <f t="shared" si="5"/>
        <v>#DIV/0!</v>
      </c>
      <c r="AG16" s="393" t="e">
        <f t="shared" si="6"/>
        <v>#DIV/0!</v>
      </c>
      <c r="AH16" s="393" t="e">
        <f t="shared" si="7"/>
        <v>#DIV/0!</v>
      </c>
      <c r="AI16" s="393" t="e">
        <f t="shared" si="8"/>
        <v>#DIV/0!</v>
      </c>
      <c r="AJ16" s="393" t="e">
        <f t="shared" si="9"/>
        <v>#DIV/0!</v>
      </c>
      <c r="AK16" s="393" t="e">
        <f t="shared" si="10"/>
        <v>#DIV/0!</v>
      </c>
      <c r="AL16" s="393" t="e">
        <f t="shared" si="11"/>
        <v>#DIV/0!</v>
      </c>
      <c r="AM16" s="393" t="e">
        <f t="shared" si="12"/>
        <v>#DIV/0!</v>
      </c>
      <c r="AN16" s="393" t="e">
        <f t="shared" si="13"/>
        <v>#DIV/0!</v>
      </c>
      <c r="AO16" s="393" t="e">
        <f t="shared" si="14"/>
        <v>#DIV/0!</v>
      </c>
      <c r="AP16" s="393" t="e">
        <f t="shared" si="15"/>
        <v>#DIV/0!</v>
      </c>
      <c r="AQ16" s="393">
        <f t="shared" si="16"/>
        <v>7.53</v>
      </c>
      <c r="AR16" s="393">
        <f t="shared" si="17"/>
        <v>2.9620000000000002</v>
      </c>
      <c r="AS16" s="393">
        <f t="shared" si="18"/>
        <v>1.3129999999999999</v>
      </c>
      <c r="AT16" s="393">
        <f t="shared" si="19"/>
        <v>4.1210000000000004</v>
      </c>
      <c r="AU16" s="393">
        <f t="shared" si="20"/>
        <v>-100</v>
      </c>
      <c r="AV16" s="393" t="e">
        <f t="shared" si="21"/>
        <v>#DIV/0!</v>
      </c>
      <c r="AW16" s="393" t="e">
        <f t="shared" si="22"/>
        <v>#DIV/0!</v>
      </c>
      <c r="AX16" s="393" t="e">
        <f t="shared" si="23"/>
        <v>#DIV/0!</v>
      </c>
      <c r="AY16" s="393" t="e">
        <f t="shared" si="24"/>
        <v>#DIV/0!</v>
      </c>
      <c r="AZ16" s="393" t="e">
        <f t="shared" si="25"/>
        <v>#DIV/0!</v>
      </c>
      <c r="BA16" s="393" t="e">
        <f t="shared" si="26"/>
        <v>#DIV/0!</v>
      </c>
      <c r="BB16" s="393">
        <f t="shared" si="27"/>
        <v>-100</v>
      </c>
    </row>
    <row r="17" spans="1:54" x14ac:dyDescent="0.25">
      <c r="A17" s="360" t="s">
        <v>4694</v>
      </c>
      <c r="B17" s="480"/>
      <c r="C17" s="480"/>
      <c r="D17" s="480"/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0"/>
      <c r="Y17" s="480"/>
      <c r="Z17" s="480"/>
      <c r="AA17" s="480">
        <v>0.60699999999999998</v>
      </c>
      <c r="AB17" s="480"/>
      <c r="AC17" s="393" t="e">
        <f t="shared" si="2"/>
        <v>#DIV/0!</v>
      </c>
      <c r="AD17" s="393" t="e">
        <f t="shared" si="3"/>
        <v>#DIV/0!</v>
      </c>
      <c r="AE17" s="393" t="e">
        <f t="shared" si="4"/>
        <v>#DIV/0!</v>
      </c>
      <c r="AF17" s="393" t="e">
        <f t="shared" si="5"/>
        <v>#DIV/0!</v>
      </c>
      <c r="AG17" s="393" t="e">
        <f t="shared" si="6"/>
        <v>#DIV/0!</v>
      </c>
      <c r="AH17" s="393" t="e">
        <f t="shared" si="7"/>
        <v>#DIV/0!</v>
      </c>
      <c r="AI17" s="393" t="e">
        <f t="shared" si="8"/>
        <v>#DIV/0!</v>
      </c>
      <c r="AJ17" s="393" t="e">
        <f t="shared" si="9"/>
        <v>#DIV/0!</v>
      </c>
      <c r="AK17" s="393" t="e">
        <f t="shared" si="10"/>
        <v>#DIV/0!</v>
      </c>
      <c r="AL17" s="393" t="e">
        <f t="shared" si="11"/>
        <v>#DIV/0!</v>
      </c>
      <c r="AM17" s="393" t="e">
        <f t="shared" si="12"/>
        <v>#DIV/0!</v>
      </c>
      <c r="AN17" s="393" t="e">
        <f t="shared" si="13"/>
        <v>#DIV/0!</v>
      </c>
      <c r="AO17" s="393" t="e">
        <f t="shared" si="14"/>
        <v>#DIV/0!</v>
      </c>
      <c r="AP17" s="393" t="e">
        <f t="shared" si="15"/>
        <v>#DIV/0!</v>
      </c>
      <c r="AQ17" s="393" t="e">
        <f t="shared" si="16"/>
        <v>#DIV/0!</v>
      </c>
      <c r="AR17" s="393" t="e">
        <f t="shared" si="17"/>
        <v>#DIV/0!</v>
      </c>
      <c r="AS17" s="393" t="e">
        <f t="shared" si="18"/>
        <v>#DIV/0!</v>
      </c>
      <c r="AT17" s="393" t="e">
        <f t="shared" si="19"/>
        <v>#DIV/0!</v>
      </c>
      <c r="AU17" s="393" t="e">
        <f t="shared" si="20"/>
        <v>#DIV/0!</v>
      </c>
      <c r="AV17" s="393" t="e">
        <f t="shared" si="21"/>
        <v>#DIV/0!</v>
      </c>
      <c r="AW17" s="393" t="e">
        <f t="shared" si="22"/>
        <v>#DIV/0!</v>
      </c>
      <c r="AX17" s="393" t="e">
        <f t="shared" si="23"/>
        <v>#DIV/0!</v>
      </c>
      <c r="AY17" s="393" t="e">
        <f t="shared" si="24"/>
        <v>#DIV/0!</v>
      </c>
      <c r="AZ17" s="393" t="e">
        <f t="shared" si="25"/>
        <v>#DIV/0!</v>
      </c>
      <c r="BA17" s="393" t="e">
        <f t="shared" si="26"/>
        <v>#DIV/0!</v>
      </c>
      <c r="BB17" s="393">
        <f t="shared" si="27"/>
        <v>-100</v>
      </c>
    </row>
    <row r="18" spans="1:54" x14ac:dyDescent="0.25">
      <c r="A18" s="360" t="s">
        <v>4675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>
        <v>0.70699999999999996</v>
      </c>
      <c r="AB18" s="480"/>
      <c r="AC18" s="393" t="e">
        <f t="shared" si="2"/>
        <v>#DIV/0!</v>
      </c>
      <c r="AD18" s="393" t="e">
        <f t="shared" si="3"/>
        <v>#DIV/0!</v>
      </c>
      <c r="AE18" s="393" t="e">
        <f t="shared" si="4"/>
        <v>#DIV/0!</v>
      </c>
      <c r="AF18" s="393" t="e">
        <f t="shared" si="5"/>
        <v>#DIV/0!</v>
      </c>
      <c r="AG18" s="393" t="e">
        <f t="shared" si="6"/>
        <v>#DIV/0!</v>
      </c>
      <c r="AH18" s="393" t="e">
        <f t="shared" si="7"/>
        <v>#DIV/0!</v>
      </c>
      <c r="AI18" s="393" t="e">
        <f t="shared" si="8"/>
        <v>#DIV/0!</v>
      </c>
      <c r="AJ18" s="393" t="e">
        <f t="shared" si="9"/>
        <v>#DIV/0!</v>
      </c>
      <c r="AK18" s="393" t="e">
        <f t="shared" si="10"/>
        <v>#DIV/0!</v>
      </c>
      <c r="AL18" s="393" t="e">
        <f t="shared" si="11"/>
        <v>#DIV/0!</v>
      </c>
      <c r="AM18" s="393" t="e">
        <f t="shared" si="12"/>
        <v>#DIV/0!</v>
      </c>
      <c r="AN18" s="393" t="e">
        <f t="shared" si="13"/>
        <v>#DIV/0!</v>
      </c>
      <c r="AO18" s="393" t="e">
        <f t="shared" si="14"/>
        <v>#DIV/0!</v>
      </c>
      <c r="AP18" s="393" t="e">
        <f t="shared" si="15"/>
        <v>#DIV/0!</v>
      </c>
      <c r="AQ18" s="393" t="e">
        <f t="shared" si="16"/>
        <v>#DIV/0!</v>
      </c>
      <c r="AR18" s="393" t="e">
        <f t="shared" si="17"/>
        <v>#DIV/0!</v>
      </c>
      <c r="AS18" s="393" t="e">
        <f t="shared" si="18"/>
        <v>#DIV/0!</v>
      </c>
      <c r="AT18" s="393" t="e">
        <f t="shared" si="19"/>
        <v>#DIV/0!</v>
      </c>
      <c r="AU18" s="393" t="e">
        <f t="shared" si="20"/>
        <v>#DIV/0!</v>
      </c>
      <c r="AV18" s="393" t="e">
        <f t="shared" si="21"/>
        <v>#DIV/0!</v>
      </c>
      <c r="AW18" s="393" t="e">
        <f t="shared" si="22"/>
        <v>#DIV/0!</v>
      </c>
      <c r="AX18" s="393" t="e">
        <f t="shared" si="23"/>
        <v>#DIV/0!</v>
      </c>
      <c r="AY18" s="393" t="e">
        <f t="shared" si="24"/>
        <v>#DIV/0!</v>
      </c>
      <c r="AZ18" s="393" t="e">
        <f t="shared" si="25"/>
        <v>#DIV/0!</v>
      </c>
      <c r="BA18" s="393" t="e">
        <f t="shared" si="26"/>
        <v>#DIV/0!</v>
      </c>
      <c r="BB18" s="393">
        <f t="shared" si="27"/>
        <v>-100</v>
      </c>
    </row>
    <row r="19" spans="1:54" x14ac:dyDescent="0.25">
      <c r="A19" s="360" t="s">
        <v>4639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>
        <v>0.65300000000000002</v>
      </c>
      <c r="AB19" s="480"/>
      <c r="AC19" s="393" t="e">
        <f t="shared" si="2"/>
        <v>#DIV/0!</v>
      </c>
      <c r="AD19" s="393" t="e">
        <f t="shared" si="3"/>
        <v>#DIV/0!</v>
      </c>
      <c r="AE19" s="393" t="e">
        <f t="shared" si="4"/>
        <v>#DIV/0!</v>
      </c>
      <c r="AF19" s="393" t="e">
        <f t="shared" si="5"/>
        <v>#DIV/0!</v>
      </c>
      <c r="AG19" s="393" t="e">
        <f t="shared" si="6"/>
        <v>#DIV/0!</v>
      </c>
      <c r="AH19" s="393" t="e">
        <f t="shared" si="7"/>
        <v>#DIV/0!</v>
      </c>
      <c r="AI19" s="393" t="e">
        <f t="shared" si="8"/>
        <v>#DIV/0!</v>
      </c>
      <c r="AJ19" s="393" t="e">
        <f t="shared" si="9"/>
        <v>#DIV/0!</v>
      </c>
      <c r="AK19" s="393" t="e">
        <f t="shared" si="10"/>
        <v>#DIV/0!</v>
      </c>
      <c r="AL19" s="393" t="e">
        <f t="shared" si="11"/>
        <v>#DIV/0!</v>
      </c>
      <c r="AM19" s="393" t="e">
        <f t="shared" si="12"/>
        <v>#DIV/0!</v>
      </c>
      <c r="AN19" s="393" t="e">
        <f t="shared" si="13"/>
        <v>#DIV/0!</v>
      </c>
      <c r="AO19" s="393" t="e">
        <f t="shared" si="14"/>
        <v>#DIV/0!</v>
      </c>
      <c r="AP19" s="393" t="e">
        <f t="shared" si="15"/>
        <v>#DIV/0!</v>
      </c>
      <c r="AQ19" s="393" t="e">
        <f t="shared" si="16"/>
        <v>#DIV/0!</v>
      </c>
      <c r="AR19" s="393" t="e">
        <f t="shared" si="17"/>
        <v>#DIV/0!</v>
      </c>
      <c r="AS19" s="393" t="e">
        <f t="shared" si="18"/>
        <v>#DIV/0!</v>
      </c>
      <c r="AT19" s="393" t="e">
        <f t="shared" si="19"/>
        <v>#DIV/0!</v>
      </c>
      <c r="AU19" s="393" t="e">
        <f t="shared" si="20"/>
        <v>#DIV/0!</v>
      </c>
      <c r="AV19" s="393" t="e">
        <f t="shared" si="21"/>
        <v>#DIV/0!</v>
      </c>
      <c r="AW19" s="393" t="e">
        <f t="shared" si="22"/>
        <v>#DIV/0!</v>
      </c>
      <c r="AX19" s="393" t="e">
        <f t="shared" si="23"/>
        <v>#DIV/0!</v>
      </c>
      <c r="AY19" s="393" t="e">
        <f t="shared" si="24"/>
        <v>#DIV/0!</v>
      </c>
      <c r="AZ19" s="393" t="e">
        <f t="shared" si="25"/>
        <v>#DIV/0!</v>
      </c>
      <c r="BA19" s="393" t="e">
        <f t="shared" si="26"/>
        <v>#DIV/0!</v>
      </c>
      <c r="BB19" s="393">
        <f t="shared" si="27"/>
        <v>-100</v>
      </c>
    </row>
    <row r="20" spans="1:54" x14ac:dyDescent="0.25">
      <c r="A20" s="360" t="s">
        <v>4379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>
        <f>1041/1800</f>
        <v>0.57830000000000004</v>
      </c>
      <c r="Z20" s="480"/>
      <c r="AA20" s="480">
        <v>0.57799999999999996</v>
      </c>
      <c r="AB20" s="480"/>
      <c r="AC20" s="393" t="e">
        <f t="shared" si="2"/>
        <v>#DIV/0!</v>
      </c>
      <c r="AD20" s="393" t="e">
        <f t="shared" si="3"/>
        <v>#DIV/0!</v>
      </c>
      <c r="AE20" s="393" t="e">
        <f t="shared" si="4"/>
        <v>#DIV/0!</v>
      </c>
      <c r="AF20" s="393" t="e">
        <f t="shared" si="5"/>
        <v>#DIV/0!</v>
      </c>
      <c r="AG20" s="393" t="e">
        <f t="shared" si="6"/>
        <v>#DIV/0!</v>
      </c>
      <c r="AH20" s="393" t="e">
        <f t="shared" si="7"/>
        <v>#DIV/0!</v>
      </c>
      <c r="AI20" s="393" t="e">
        <f t="shared" si="8"/>
        <v>#DIV/0!</v>
      </c>
      <c r="AJ20" s="393" t="e">
        <f t="shared" si="9"/>
        <v>#DIV/0!</v>
      </c>
      <c r="AK20" s="393" t="e">
        <f t="shared" si="10"/>
        <v>#DIV/0!</v>
      </c>
      <c r="AL20" s="393" t="e">
        <f t="shared" si="11"/>
        <v>#DIV/0!</v>
      </c>
      <c r="AM20" s="393" t="e">
        <f t="shared" si="12"/>
        <v>#DIV/0!</v>
      </c>
      <c r="AN20" s="393" t="e">
        <f t="shared" si="13"/>
        <v>#DIV/0!</v>
      </c>
      <c r="AO20" s="393" t="e">
        <f t="shared" si="14"/>
        <v>#DIV/0!</v>
      </c>
      <c r="AP20" s="393" t="e">
        <f t="shared" si="15"/>
        <v>#DIV/0!</v>
      </c>
      <c r="AQ20" s="393" t="e">
        <f t="shared" si="16"/>
        <v>#DIV/0!</v>
      </c>
      <c r="AR20" s="393" t="e">
        <f t="shared" si="17"/>
        <v>#DIV/0!</v>
      </c>
      <c r="AS20" s="393" t="e">
        <f t="shared" si="18"/>
        <v>#DIV/0!</v>
      </c>
      <c r="AT20" s="393" t="e">
        <f t="shared" si="19"/>
        <v>#DIV/0!</v>
      </c>
      <c r="AU20" s="393" t="e">
        <f t="shared" si="20"/>
        <v>#DIV/0!</v>
      </c>
      <c r="AV20" s="393" t="e">
        <f t="shared" si="21"/>
        <v>#DIV/0!</v>
      </c>
      <c r="AW20" s="393" t="e">
        <f t="shared" si="22"/>
        <v>#DIV/0!</v>
      </c>
      <c r="AX20" s="393" t="e">
        <f t="shared" si="23"/>
        <v>#DIV/0!</v>
      </c>
      <c r="AY20" s="393" t="e">
        <f t="shared" si="24"/>
        <v>#DIV/0!</v>
      </c>
      <c r="AZ20" s="393">
        <f t="shared" si="25"/>
        <v>-100</v>
      </c>
      <c r="BA20" s="393" t="e">
        <f t="shared" si="26"/>
        <v>#DIV/0!</v>
      </c>
      <c r="BB20" s="393">
        <f t="shared" si="27"/>
        <v>-100</v>
      </c>
    </row>
    <row r="21" spans="1:54" x14ac:dyDescent="0.25">
      <c r="A21" s="360" t="s">
        <v>4698</v>
      </c>
      <c r="B21" s="480"/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>
        <v>0.60699999999999998</v>
      </c>
      <c r="AB21" s="480"/>
      <c r="AC21" s="393" t="e">
        <f t="shared" si="2"/>
        <v>#DIV/0!</v>
      </c>
      <c r="AD21" s="393" t="e">
        <f t="shared" si="3"/>
        <v>#DIV/0!</v>
      </c>
      <c r="AE21" s="393" t="e">
        <f t="shared" si="4"/>
        <v>#DIV/0!</v>
      </c>
      <c r="AF21" s="393" t="e">
        <f t="shared" si="5"/>
        <v>#DIV/0!</v>
      </c>
      <c r="AG21" s="393" t="e">
        <f t="shared" si="6"/>
        <v>#DIV/0!</v>
      </c>
      <c r="AH21" s="393" t="e">
        <f t="shared" si="7"/>
        <v>#DIV/0!</v>
      </c>
      <c r="AI21" s="393" t="e">
        <f t="shared" si="8"/>
        <v>#DIV/0!</v>
      </c>
      <c r="AJ21" s="393" t="e">
        <f t="shared" si="9"/>
        <v>#DIV/0!</v>
      </c>
      <c r="AK21" s="393" t="e">
        <f t="shared" si="10"/>
        <v>#DIV/0!</v>
      </c>
      <c r="AL21" s="393" t="e">
        <f t="shared" si="11"/>
        <v>#DIV/0!</v>
      </c>
      <c r="AM21" s="393" t="e">
        <f t="shared" si="12"/>
        <v>#DIV/0!</v>
      </c>
      <c r="AN21" s="393" t="e">
        <f t="shared" si="13"/>
        <v>#DIV/0!</v>
      </c>
      <c r="AO21" s="393" t="e">
        <f t="shared" si="14"/>
        <v>#DIV/0!</v>
      </c>
      <c r="AP21" s="393" t="e">
        <f t="shared" si="15"/>
        <v>#DIV/0!</v>
      </c>
      <c r="AQ21" s="393" t="e">
        <f t="shared" si="16"/>
        <v>#DIV/0!</v>
      </c>
      <c r="AR21" s="393" t="e">
        <f t="shared" si="17"/>
        <v>#DIV/0!</v>
      </c>
      <c r="AS21" s="393" t="e">
        <f t="shared" si="18"/>
        <v>#DIV/0!</v>
      </c>
      <c r="AT21" s="393" t="e">
        <f t="shared" si="19"/>
        <v>#DIV/0!</v>
      </c>
      <c r="AU21" s="393" t="e">
        <f t="shared" si="20"/>
        <v>#DIV/0!</v>
      </c>
      <c r="AV21" s="393" t="e">
        <f t="shared" si="21"/>
        <v>#DIV/0!</v>
      </c>
      <c r="AW21" s="393" t="e">
        <f t="shared" si="22"/>
        <v>#DIV/0!</v>
      </c>
      <c r="AX21" s="393" t="e">
        <f t="shared" si="23"/>
        <v>#DIV/0!</v>
      </c>
      <c r="AY21" s="393" t="e">
        <f t="shared" si="24"/>
        <v>#DIV/0!</v>
      </c>
      <c r="AZ21" s="393" t="e">
        <f t="shared" si="25"/>
        <v>#DIV/0!</v>
      </c>
      <c r="BA21" s="393" t="e">
        <f t="shared" si="26"/>
        <v>#DIV/0!</v>
      </c>
      <c r="BB21" s="393">
        <f t="shared" si="27"/>
        <v>-100</v>
      </c>
    </row>
    <row r="22" spans="1:54" x14ac:dyDescent="0.25">
      <c r="A22" s="360" t="s">
        <v>4685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>
        <v>0.65700000000000003</v>
      </c>
      <c r="AB22" s="480"/>
      <c r="AC22" s="393" t="e">
        <f t="shared" si="2"/>
        <v>#DIV/0!</v>
      </c>
      <c r="AD22" s="393" t="e">
        <f t="shared" si="3"/>
        <v>#DIV/0!</v>
      </c>
      <c r="AE22" s="393" t="e">
        <f t="shared" si="4"/>
        <v>#DIV/0!</v>
      </c>
      <c r="AF22" s="393" t="e">
        <f t="shared" si="5"/>
        <v>#DIV/0!</v>
      </c>
      <c r="AG22" s="393" t="e">
        <f t="shared" si="6"/>
        <v>#DIV/0!</v>
      </c>
      <c r="AH22" s="393" t="e">
        <f t="shared" si="7"/>
        <v>#DIV/0!</v>
      </c>
      <c r="AI22" s="393" t="e">
        <f t="shared" si="8"/>
        <v>#DIV/0!</v>
      </c>
      <c r="AJ22" s="393" t="e">
        <f t="shared" si="9"/>
        <v>#DIV/0!</v>
      </c>
      <c r="AK22" s="393" t="e">
        <f t="shared" si="10"/>
        <v>#DIV/0!</v>
      </c>
      <c r="AL22" s="393" t="e">
        <f t="shared" si="11"/>
        <v>#DIV/0!</v>
      </c>
      <c r="AM22" s="393" t="e">
        <f t="shared" si="12"/>
        <v>#DIV/0!</v>
      </c>
      <c r="AN22" s="393" t="e">
        <f t="shared" si="13"/>
        <v>#DIV/0!</v>
      </c>
      <c r="AO22" s="393" t="e">
        <f t="shared" si="14"/>
        <v>#DIV/0!</v>
      </c>
      <c r="AP22" s="393" t="e">
        <f t="shared" si="15"/>
        <v>#DIV/0!</v>
      </c>
      <c r="AQ22" s="393" t="e">
        <f t="shared" si="16"/>
        <v>#DIV/0!</v>
      </c>
      <c r="AR22" s="393" t="e">
        <f t="shared" si="17"/>
        <v>#DIV/0!</v>
      </c>
      <c r="AS22" s="393" t="e">
        <f t="shared" si="18"/>
        <v>#DIV/0!</v>
      </c>
      <c r="AT22" s="393" t="e">
        <f t="shared" si="19"/>
        <v>#DIV/0!</v>
      </c>
      <c r="AU22" s="393" t="e">
        <f t="shared" si="20"/>
        <v>#DIV/0!</v>
      </c>
      <c r="AV22" s="393" t="e">
        <f t="shared" si="21"/>
        <v>#DIV/0!</v>
      </c>
      <c r="AW22" s="393" t="e">
        <f t="shared" si="22"/>
        <v>#DIV/0!</v>
      </c>
      <c r="AX22" s="393" t="e">
        <f t="shared" si="23"/>
        <v>#DIV/0!</v>
      </c>
      <c r="AY22" s="393" t="e">
        <f t="shared" si="24"/>
        <v>#DIV/0!</v>
      </c>
      <c r="AZ22" s="393" t="e">
        <f t="shared" si="25"/>
        <v>#DIV/0!</v>
      </c>
      <c r="BA22" s="393" t="e">
        <f t="shared" si="26"/>
        <v>#DIV/0!</v>
      </c>
      <c r="BB22" s="393">
        <f t="shared" si="27"/>
        <v>-100</v>
      </c>
    </row>
    <row r="23" spans="1:54" x14ac:dyDescent="0.25">
      <c r="A23" s="360" t="s">
        <v>4644</v>
      </c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>
        <v>0.60499999999999998</v>
      </c>
      <c r="AB23" s="480"/>
      <c r="AC23" s="393" t="e">
        <f t="shared" si="2"/>
        <v>#DIV/0!</v>
      </c>
      <c r="AD23" s="393" t="e">
        <f t="shared" si="3"/>
        <v>#DIV/0!</v>
      </c>
      <c r="AE23" s="393" t="e">
        <f t="shared" si="4"/>
        <v>#DIV/0!</v>
      </c>
      <c r="AF23" s="393" t="e">
        <f t="shared" si="5"/>
        <v>#DIV/0!</v>
      </c>
      <c r="AG23" s="393" t="e">
        <f t="shared" si="6"/>
        <v>#DIV/0!</v>
      </c>
      <c r="AH23" s="393" t="e">
        <f t="shared" si="7"/>
        <v>#DIV/0!</v>
      </c>
      <c r="AI23" s="393" t="e">
        <f t="shared" si="8"/>
        <v>#DIV/0!</v>
      </c>
      <c r="AJ23" s="393" t="e">
        <f t="shared" si="9"/>
        <v>#DIV/0!</v>
      </c>
      <c r="AK23" s="393" t="e">
        <f t="shared" si="10"/>
        <v>#DIV/0!</v>
      </c>
      <c r="AL23" s="393" t="e">
        <f t="shared" si="11"/>
        <v>#DIV/0!</v>
      </c>
      <c r="AM23" s="393" t="e">
        <f t="shared" si="12"/>
        <v>#DIV/0!</v>
      </c>
      <c r="AN23" s="393" t="e">
        <f t="shared" si="13"/>
        <v>#DIV/0!</v>
      </c>
      <c r="AO23" s="393" t="e">
        <f t="shared" si="14"/>
        <v>#DIV/0!</v>
      </c>
      <c r="AP23" s="393" t="e">
        <f t="shared" si="15"/>
        <v>#DIV/0!</v>
      </c>
      <c r="AQ23" s="393" t="e">
        <f t="shared" si="16"/>
        <v>#DIV/0!</v>
      </c>
      <c r="AR23" s="393" t="e">
        <f t="shared" si="17"/>
        <v>#DIV/0!</v>
      </c>
      <c r="AS23" s="393" t="e">
        <f t="shared" si="18"/>
        <v>#DIV/0!</v>
      </c>
      <c r="AT23" s="393" t="e">
        <f t="shared" si="19"/>
        <v>#DIV/0!</v>
      </c>
      <c r="AU23" s="393" t="e">
        <f t="shared" si="20"/>
        <v>#DIV/0!</v>
      </c>
      <c r="AV23" s="393" t="e">
        <f t="shared" si="21"/>
        <v>#DIV/0!</v>
      </c>
      <c r="AW23" s="393" t="e">
        <f t="shared" si="22"/>
        <v>#DIV/0!</v>
      </c>
      <c r="AX23" s="393" t="e">
        <f t="shared" si="23"/>
        <v>#DIV/0!</v>
      </c>
      <c r="AY23" s="393" t="e">
        <f t="shared" si="24"/>
        <v>#DIV/0!</v>
      </c>
      <c r="AZ23" s="393" t="e">
        <f t="shared" si="25"/>
        <v>#DIV/0!</v>
      </c>
      <c r="BA23" s="393" t="e">
        <f t="shared" si="26"/>
        <v>#DIV/0!</v>
      </c>
      <c r="BB23" s="393">
        <f t="shared" si="27"/>
        <v>-100</v>
      </c>
    </row>
    <row r="24" spans="1:54" x14ac:dyDescent="0.25">
      <c r="A24" s="361" t="s">
        <v>4723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>
        <f>667/1200</f>
        <v>0.55579999999999996</v>
      </c>
      <c r="U24" s="480">
        <f>1014/1800</f>
        <v>0.56330000000000002</v>
      </c>
      <c r="V24" s="480"/>
      <c r="W24" s="480"/>
      <c r="X24" s="480"/>
      <c r="Y24" s="480"/>
      <c r="Z24" s="480"/>
      <c r="AA24" s="480">
        <v>0.61799999999999999</v>
      </c>
      <c r="AB24" s="480"/>
      <c r="AC24" s="393" t="e">
        <f t="shared" si="2"/>
        <v>#DIV/0!</v>
      </c>
      <c r="AD24" s="393" t="e">
        <f t="shared" si="3"/>
        <v>#DIV/0!</v>
      </c>
      <c r="AE24" s="393" t="e">
        <f t="shared" si="4"/>
        <v>#DIV/0!</v>
      </c>
      <c r="AF24" s="393" t="e">
        <f t="shared" si="5"/>
        <v>#DIV/0!</v>
      </c>
      <c r="AG24" s="393" t="e">
        <f t="shared" si="6"/>
        <v>#DIV/0!</v>
      </c>
      <c r="AH24" s="393" t="e">
        <f t="shared" si="7"/>
        <v>#DIV/0!</v>
      </c>
      <c r="AI24" s="393" t="e">
        <f t="shared" si="8"/>
        <v>#DIV/0!</v>
      </c>
      <c r="AJ24" s="393" t="e">
        <f t="shared" si="9"/>
        <v>#DIV/0!</v>
      </c>
      <c r="AK24" s="393" t="e">
        <f t="shared" si="10"/>
        <v>#DIV/0!</v>
      </c>
      <c r="AL24" s="393" t="e">
        <f t="shared" si="11"/>
        <v>#DIV/0!</v>
      </c>
      <c r="AM24" s="393" t="e">
        <f t="shared" si="12"/>
        <v>#DIV/0!</v>
      </c>
      <c r="AN24" s="393" t="e">
        <f t="shared" si="13"/>
        <v>#DIV/0!</v>
      </c>
      <c r="AO24" s="393" t="e">
        <f t="shared" si="14"/>
        <v>#DIV/0!</v>
      </c>
      <c r="AP24" s="393" t="e">
        <f t="shared" si="15"/>
        <v>#DIV/0!</v>
      </c>
      <c r="AQ24" s="393" t="e">
        <f t="shared" si="16"/>
        <v>#DIV/0!</v>
      </c>
      <c r="AR24" s="393" t="e">
        <f t="shared" si="17"/>
        <v>#DIV/0!</v>
      </c>
      <c r="AS24" s="393" t="e">
        <f t="shared" si="18"/>
        <v>#DIV/0!</v>
      </c>
      <c r="AT24" s="393" t="e">
        <f t="shared" si="19"/>
        <v>#DIV/0!</v>
      </c>
      <c r="AU24" s="393">
        <f t="shared" si="20"/>
        <v>1.349</v>
      </c>
      <c r="AV24" s="393">
        <f t="shared" si="21"/>
        <v>-100</v>
      </c>
      <c r="AW24" s="393" t="e">
        <f t="shared" si="22"/>
        <v>#DIV/0!</v>
      </c>
      <c r="AX24" s="393" t="e">
        <f t="shared" si="23"/>
        <v>#DIV/0!</v>
      </c>
      <c r="AY24" s="393" t="e">
        <f t="shared" si="24"/>
        <v>#DIV/0!</v>
      </c>
      <c r="AZ24" s="393" t="e">
        <f t="shared" si="25"/>
        <v>#DIV/0!</v>
      </c>
      <c r="BA24" s="393" t="e">
        <f t="shared" si="26"/>
        <v>#DIV/0!</v>
      </c>
      <c r="BB24" s="393">
        <f t="shared" si="27"/>
        <v>-100</v>
      </c>
    </row>
    <row r="25" spans="1:54" x14ac:dyDescent="0.25">
      <c r="A25" s="360" t="s">
        <v>4669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>
        <v>0.73</v>
      </c>
      <c r="AB25" s="480"/>
      <c r="AC25" s="393" t="e">
        <f t="shared" si="2"/>
        <v>#DIV/0!</v>
      </c>
      <c r="AD25" s="393" t="e">
        <f t="shared" si="3"/>
        <v>#DIV/0!</v>
      </c>
      <c r="AE25" s="393" t="e">
        <f t="shared" si="4"/>
        <v>#DIV/0!</v>
      </c>
      <c r="AF25" s="393" t="e">
        <f t="shared" si="5"/>
        <v>#DIV/0!</v>
      </c>
      <c r="AG25" s="393" t="e">
        <f t="shared" si="6"/>
        <v>#DIV/0!</v>
      </c>
      <c r="AH25" s="393" t="e">
        <f t="shared" si="7"/>
        <v>#DIV/0!</v>
      </c>
      <c r="AI25" s="393" t="e">
        <f t="shared" si="8"/>
        <v>#DIV/0!</v>
      </c>
      <c r="AJ25" s="393" t="e">
        <f t="shared" si="9"/>
        <v>#DIV/0!</v>
      </c>
      <c r="AK25" s="393" t="e">
        <f t="shared" si="10"/>
        <v>#DIV/0!</v>
      </c>
      <c r="AL25" s="393" t="e">
        <f t="shared" si="11"/>
        <v>#DIV/0!</v>
      </c>
      <c r="AM25" s="393" t="e">
        <f t="shared" si="12"/>
        <v>#DIV/0!</v>
      </c>
      <c r="AN25" s="393" t="e">
        <f t="shared" si="13"/>
        <v>#DIV/0!</v>
      </c>
      <c r="AO25" s="393" t="e">
        <f t="shared" si="14"/>
        <v>#DIV/0!</v>
      </c>
      <c r="AP25" s="393" t="e">
        <f t="shared" si="15"/>
        <v>#DIV/0!</v>
      </c>
      <c r="AQ25" s="393" t="e">
        <f t="shared" si="16"/>
        <v>#DIV/0!</v>
      </c>
      <c r="AR25" s="393" t="e">
        <f t="shared" si="17"/>
        <v>#DIV/0!</v>
      </c>
      <c r="AS25" s="393" t="e">
        <f t="shared" si="18"/>
        <v>#DIV/0!</v>
      </c>
      <c r="AT25" s="393" t="e">
        <f t="shared" si="19"/>
        <v>#DIV/0!</v>
      </c>
      <c r="AU25" s="393" t="e">
        <f t="shared" si="20"/>
        <v>#DIV/0!</v>
      </c>
      <c r="AV25" s="393" t="e">
        <f t="shared" si="21"/>
        <v>#DIV/0!</v>
      </c>
      <c r="AW25" s="393" t="e">
        <f t="shared" si="22"/>
        <v>#DIV/0!</v>
      </c>
      <c r="AX25" s="393" t="e">
        <f t="shared" si="23"/>
        <v>#DIV/0!</v>
      </c>
      <c r="AY25" s="393" t="e">
        <f t="shared" si="24"/>
        <v>#DIV/0!</v>
      </c>
      <c r="AZ25" s="393" t="e">
        <f t="shared" si="25"/>
        <v>#DIV/0!</v>
      </c>
      <c r="BA25" s="393" t="e">
        <f t="shared" si="26"/>
        <v>#DIV/0!</v>
      </c>
      <c r="BB25" s="393">
        <f t="shared" si="27"/>
        <v>-100</v>
      </c>
    </row>
    <row r="26" spans="1:54" x14ac:dyDescent="0.25">
      <c r="A26" s="360" t="s">
        <v>4662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80"/>
      <c r="AA26" s="480">
        <v>0.748</v>
      </c>
      <c r="AB26" s="480"/>
      <c r="AC26" s="393" t="e">
        <f t="shared" si="2"/>
        <v>#DIV/0!</v>
      </c>
      <c r="AD26" s="393" t="e">
        <f t="shared" si="3"/>
        <v>#DIV/0!</v>
      </c>
      <c r="AE26" s="393" t="e">
        <f t="shared" si="4"/>
        <v>#DIV/0!</v>
      </c>
      <c r="AF26" s="393" t="e">
        <f t="shared" si="5"/>
        <v>#DIV/0!</v>
      </c>
      <c r="AG26" s="393" t="e">
        <f t="shared" si="6"/>
        <v>#DIV/0!</v>
      </c>
      <c r="AH26" s="393" t="e">
        <f t="shared" si="7"/>
        <v>#DIV/0!</v>
      </c>
      <c r="AI26" s="393" t="e">
        <f t="shared" si="8"/>
        <v>#DIV/0!</v>
      </c>
      <c r="AJ26" s="393" t="e">
        <f t="shared" si="9"/>
        <v>#DIV/0!</v>
      </c>
      <c r="AK26" s="393" t="e">
        <f t="shared" si="10"/>
        <v>#DIV/0!</v>
      </c>
      <c r="AL26" s="393" t="e">
        <f t="shared" si="11"/>
        <v>#DIV/0!</v>
      </c>
      <c r="AM26" s="393" t="e">
        <f t="shared" si="12"/>
        <v>#DIV/0!</v>
      </c>
      <c r="AN26" s="393" t="e">
        <f t="shared" si="13"/>
        <v>#DIV/0!</v>
      </c>
      <c r="AO26" s="393" t="e">
        <f t="shared" si="14"/>
        <v>#DIV/0!</v>
      </c>
      <c r="AP26" s="393" t="e">
        <f t="shared" si="15"/>
        <v>#DIV/0!</v>
      </c>
      <c r="AQ26" s="393" t="e">
        <f t="shared" si="16"/>
        <v>#DIV/0!</v>
      </c>
      <c r="AR26" s="393" t="e">
        <f t="shared" si="17"/>
        <v>#DIV/0!</v>
      </c>
      <c r="AS26" s="393" t="e">
        <f t="shared" si="18"/>
        <v>#DIV/0!</v>
      </c>
      <c r="AT26" s="393" t="e">
        <f t="shared" si="19"/>
        <v>#DIV/0!</v>
      </c>
      <c r="AU26" s="393" t="e">
        <f t="shared" si="20"/>
        <v>#DIV/0!</v>
      </c>
      <c r="AV26" s="393" t="e">
        <f t="shared" si="21"/>
        <v>#DIV/0!</v>
      </c>
      <c r="AW26" s="393" t="e">
        <f t="shared" si="22"/>
        <v>#DIV/0!</v>
      </c>
      <c r="AX26" s="393" t="e">
        <f t="shared" si="23"/>
        <v>#DIV/0!</v>
      </c>
      <c r="AY26" s="393" t="e">
        <f t="shared" si="24"/>
        <v>#DIV/0!</v>
      </c>
      <c r="AZ26" s="393" t="e">
        <f t="shared" si="25"/>
        <v>#DIV/0!</v>
      </c>
      <c r="BA26" s="393" t="e">
        <f t="shared" si="26"/>
        <v>#DIV/0!</v>
      </c>
      <c r="BB26" s="393">
        <f t="shared" si="27"/>
        <v>-100</v>
      </c>
    </row>
    <row r="27" spans="1:54" x14ac:dyDescent="0.25">
      <c r="A27" s="360" t="s">
        <v>4681</v>
      </c>
      <c r="B27" s="480"/>
      <c r="C27" s="480"/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>
        <v>0.66700000000000004</v>
      </c>
      <c r="AB27" s="480"/>
      <c r="AC27" s="393" t="e">
        <f t="shared" si="2"/>
        <v>#DIV/0!</v>
      </c>
      <c r="AD27" s="393" t="e">
        <f t="shared" si="3"/>
        <v>#DIV/0!</v>
      </c>
      <c r="AE27" s="393" t="e">
        <f t="shared" si="4"/>
        <v>#DIV/0!</v>
      </c>
      <c r="AF27" s="393" t="e">
        <f t="shared" si="5"/>
        <v>#DIV/0!</v>
      </c>
      <c r="AG27" s="393" t="e">
        <f t="shared" si="6"/>
        <v>#DIV/0!</v>
      </c>
      <c r="AH27" s="393" t="e">
        <f t="shared" si="7"/>
        <v>#DIV/0!</v>
      </c>
      <c r="AI27" s="393" t="e">
        <f t="shared" si="8"/>
        <v>#DIV/0!</v>
      </c>
      <c r="AJ27" s="393" t="e">
        <f t="shared" si="9"/>
        <v>#DIV/0!</v>
      </c>
      <c r="AK27" s="393" t="e">
        <f t="shared" si="10"/>
        <v>#DIV/0!</v>
      </c>
      <c r="AL27" s="393" t="e">
        <f t="shared" si="11"/>
        <v>#DIV/0!</v>
      </c>
      <c r="AM27" s="393" t="e">
        <f t="shared" si="12"/>
        <v>#DIV/0!</v>
      </c>
      <c r="AN27" s="393" t="e">
        <f t="shared" si="13"/>
        <v>#DIV/0!</v>
      </c>
      <c r="AO27" s="393" t="e">
        <f t="shared" si="14"/>
        <v>#DIV/0!</v>
      </c>
      <c r="AP27" s="393" t="e">
        <f t="shared" si="15"/>
        <v>#DIV/0!</v>
      </c>
      <c r="AQ27" s="393" t="e">
        <f t="shared" si="16"/>
        <v>#DIV/0!</v>
      </c>
      <c r="AR27" s="393" t="e">
        <f t="shared" si="17"/>
        <v>#DIV/0!</v>
      </c>
      <c r="AS27" s="393" t="e">
        <f t="shared" si="18"/>
        <v>#DIV/0!</v>
      </c>
      <c r="AT27" s="393" t="e">
        <f t="shared" si="19"/>
        <v>#DIV/0!</v>
      </c>
      <c r="AU27" s="393" t="e">
        <f t="shared" si="20"/>
        <v>#DIV/0!</v>
      </c>
      <c r="AV27" s="393" t="e">
        <f t="shared" si="21"/>
        <v>#DIV/0!</v>
      </c>
      <c r="AW27" s="393" t="e">
        <f t="shared" si="22"/>
        <v>#DIV/0!</v>
      </c>
      <c r="AX27" s="393" t="e">
        <f t="shared" si="23"/>
        <v>#DIV/0!</v>
      </c>
      <c r="AY27" s="393" t="e">
        <f t="shared" si="24"/>
        <v>#DIV/0!</v>
      </c>
      <c r="AZ27" s="393" t="e">
        <f t="shared" si="25"/>
        <v>#DIV/0!</v>
      </c>
      <c r="BA27" s="393" t="e">
        <f t="shared" si="26"/>
        <v>#DIV/0!</v>
      </c>
      <c r="BB27" s="393">
        <f t="shared" si="27"/>
        <v>-100</v>
      </c>
    </row>
    <row r="28" spans="1:54" x14ac:dyDescent="0.25">
      <c r="A28" s="361" t="s">
        <v>1550</v>
      </c>
      <c r="B28" s="480"/>
      <c r="C28" s="480"/>
      <c r="D28" s="480"/>
      <c r="E28" s="480"/>
      <c r="F28" s="480">
        <f>738/1200</f>
        <v>0.61499999999999999</v>
      </c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>
        <f>1093/1800</f>
        <v>0.60719999999999996</v>
      </c>
      <c r="V28" s="481"/>
      <c r="W28" s="481">
        <f>744/1200</f>
        <v>0.62</v>
      </c>
      <c r="X28" s="481">
        <f>1114/1800</f>
        <v>0.61890000000000001</v>
      </c>
      <c r="Y28" s="481"/>
      <c r="Z28" s="481"/>
      <c r="AA28" s="481">
        <v>0.64900000000000002</v>
      </c>
      <c r="AB28" s="481"/>
      <c r="AC28" s="393" t="e">
        <f t="shared" si="2"/>
        <v>#DIV/0!</v>
      </c>
      <c r="AD28" s="393" t="e">
        <f t="shared" si="3"/>
        <v>#DIV/0!</v>
      </c>
      <c r="AE28" s="393" t="e">
        <f t="shared" si="4"/>
        <v>#DIV/0!</v>
      </c>
      <c r="AF28" s="393" t="e">
        <f t="shared" si="5"/>
        <v>#DIV/0!</v>
      </c>
      <c r="AG28" s="393">
        <f t="shared" si="6"/>
        <v>-100</v>
      </c>
      <c r="AH28" s="393" t="e">
        <f t="shared" si="7"/>
        <v>#DIV/0!</v>
      </c>
      <c r="AI28" s="393" t="e">
        <f t="shared" si="8"/>
        <v>#DIV/0!</v>
      </c>
      <c r="AJ28" s="393" t="e">
        <f t="shared" si="9"/>
        <v>#DIV/0!</v>
      </c>
      <c r="AK28" s="393" t="e">
        <f t="shared" si="10"/>
        <v>#DIV/0!</v>
      </c>
      <c r="AL28" s="393" t="e">
        <f t="shared" si="11"/>
        <v>#DIV/0!</v>
      </c>
      <c r="AM28" s="393" t="e">
        <f t="shared" si="12"/>
        <v>#DIV/0!</v>
      </c>
      <c r="AN28" s="393" t="e">
        <f t="shared" si="13"/>
        <v>#DIV/0!</v>
      </c>
      <c r="AO28" s="393" t="e">
        <f t="shared" si="14"/>
        <v>#DIV/0!</v>
      </c>
      <c r="AP28" s="393" t="e">
        <f t="shared" si="15"/>
        <v>#DIV/0!</v>
      </c>
      <c r="AQ28" s="393" t="e">
        <f t="shared" si="16"/>
        <v>#DIV/0!</v>
      </c>
      <c r="AR28" s="393" t="e">
        <f t="shared" si="17"/>
        <v>#DIV/0!</v>
      </c>
      <c r="AS28" s="393" t="e">
        <f t="shared" si="18"/>
        <v>#DIV/0!</v>
      </c>
      <c r="AT28" s="393" t="e">
        <f t="shared" si="19"/>
        <v>#DIV/0!</v>
      </c>
      <c r="AU28" s="393" t="e">
        <f t="shared" si="20"/>
        <v>#DIV/0!</v>
      </c>
      <c r="AV28" s="393">
        <f t="shared" si="21"/>
        <v>-100</v>
      </c>
      <c r="AW28" s="393" t="e">
        <f t="shared" si="22"/>
        <v>#DIV/0!</v>
      </c>
      <c r="AX28" s="393">
        <f t="shared" si="23"/>
        <v>-0.17699999999999999</v>
      </c>
      <c r="AY28" s="393">
        <f t="shared" si="24"/>
        <v>-100</v>
      </c>
      <c r="AZ28" s="393" t="e">
        <f t="shared" si="25"/>
        <v>#DIV/0!</v>
      </c>
      <c r="BA28" s="393" t="e">
        <f t="shared" si="26"/>
        <v>#DIV/0!</v>
      </c>
      <c r="BB28" s="393">
        <f t="shared" si="27"/>
        <v>-100</v>
      </c>
    </row>
    <row r="29" spans="1:54" x14ac:dyDescent="0.25">
      <c r="A29" s="360" t="s">
        <v>4672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>
        <v>0.70799999999999996</v>
      </c>
      <c r="AB29" s="480"/>
      <c r="AC29" s="393" t="e">
        <f t="shared" si="2"/>
        <v>#DIV/0!</v>
      </c>
      <c r="AD29" s="393" t="e">
        <f t="shared" si="3"/>
        <v>#DIV/0!</v>
      </c>
      <c r="AE29" s="393" t="e">
        <f t="shared" si="4"/>
        <v>#DIV/0!</v>
      </c>
      <c r="AF29" s="393" t="e">
        <f t="shared" si="5"/>
        <v>#DIV/0!</v>
      </c>
      <c r="AG29" s="393" t="e">
        <f t="shared" si="6"/>
        <v>#DIV/0!</v>
      </c>
      <c r="AH29" s="393" t="e">
        <f t="shared" si="7"/>
        <v>#DIV/0!</v>
      </c>
      <c r="AI29" s="393" t="e">
        <f t="shared" si="8"/>
        <v>#DIV/0!</v>
      </c>
      <c r="AJ29" s="393" t="e">
        <f t="shared" si="9"/>
        <v>#DIV/0!</v>
      </c>
      <c r="AK29" s="393" t="e">
        <f t="shared" si="10"/>
        <v>#DIV/0!</v>
      </c>
      <c r="AL29" s="393" t="e">
        <f t="shared" si="11"/>
        <v>#DIV/0!</v>
      </c>
      <c r="AM29" s="393" t="e">
        <f t="shared" si="12"/>
        <v>#DIV/0!</v>
      </c>
      <c r="AN29" s="393" t="e">
        <f t="shared" si="13"/>
        <v>#DIV/0!</v>
      </c>
      <c r="AO29" s="393" t="e">
        <f t="shared" si="14"/>
        <v>#DIV/0!</v>
      </c>
      <c r="AP29" s="393" t="e">
        <f t="shared" si="15"/>
        <v>#DIV/0!</v>
      </c>
      <c r="AQ29" s="393" t="e">
        <f t="shared" si="16"/>
        <v>#DIV/0!</v>
      </c>
      <c r="AR29" s="393" t="e">
        <f t="shared" si="17"/>
        <v>#DIV/0!</v>
      </c>
      <c r="AS29" s="393" t="e">
        <f t="shared" si="18"/>
        <v>#DIV/0!</v>
      </c>
      <c r="AT29" s="393" t="e">
        <f t="shared" si="19"/>
        <v>#DIV/0!</v>
      </c>
      <c r="AU29" s="393" t="e">
        <f t="shared" si="20"/>
        <v>#DIV/0!</v>
      </c>
      <c r="AV29" s="393" t="e">
        <f t="shared" si="21"/>
        <v>#DIV/0!</v>
      </c>
      <c r="AW29" s="393" t="e">
        <f t="shared" si="22"/>
        <v>#DIV/0!</v>
      </c>
      <c r="AX29" s="393" t="e">
        <f t="shared" si="23"/>
        <v>#DIV/0!</v>
      </c>
      <c r="AY29" s="393" t="e">
        <f t="shared" si="24"/>
        <v>#DIV/0!</v>
      </c>
      <c r="AZ29" s="393" t="e">
        <f t="shared" si="25"/>
        <v>#DIV/0!</v>
      </c>
      <c r="BA29" s="393" t="e">
        <f t="shared" si="26"/>
        <v>#DIV/0!</v>
      </c>
      <c r="BB29" s="393">
        <f t="shared" si="27"/>
        <v>-100</v>
      </c>
    </row>
    <row r="30" spans="1:54" x14ac:dyDescent="0.25">
      <c r="A30" s="361" t="s">
        <v>978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>
        <f>728/1200</f>
        <v>0.60670000000000002</v>
      </c>
      <c r="X30" s="480"/>
      <c r="Y30" s="480">
        <f>1053/1800</f>
        <v>0.58499999999999996</v>
      </c>
      <c r="Z30" s="480">
        <f>1095/1800</f>
        <v>0.60829999999999995</v>
      </c>
      <c r="AA30" s="480">
        <v>0.65</v>
      </c>
      <c r="AB30" s="480">
        <v>0.62880000000000003</v>
      </c>
      <c r="AC30" s="393" t="e">
        <f t="shared" si="2"/>
        <v>#DIV/0!</v>
      </c>
      <c r="AD30" s="393" t="e">
        <f t="shared" si="3"/>
        <v>#DIV/0!</v>
      </c>
      <c r="AE30" s="393" t="e">
        <f t="shared" si="4"/>
        <v>#DIV/0!</v>
      </c>
      <c r="AF30" s="393" t="e">
        <f t="shared" si="5"/>
        <v>#DIV/0!</v>
      </c>
      <c r="AG30" s="393" t="e">
        <f t="shared" si="6"/>
        <v>#DIV/0!</v>
      </c>
      <c r="AH30" s="393" t="e">
        <f t="shared" si="7"/>
        <v>#DIV/0!</v>
      </c>
      <c r="AI30" s="393" t="e">
        <f t="shared" si="8"/>
        <v>#DIV/0!</v>
      </c>
      <c r="AJ30" s="393" t="e">
        <f t="shared" si="9"/>
        <v>#DIV/0!</v>
      </c>
      <c r="AK30" s="393" t="e">
        <f t="shared" si="10"/>
        <v>#DIV/0!</v>
      </c>
      <c r="AL30" s="393" t="e">
        <f t="shared" si="11"/>
        <v>#DIV/0!</v>
      </c>
      <c r="AM30" s="393" t="e">
        <f t="shared" si="12"/>
        <v>#DIV/0!</v>
      </c>
      <c r="AN30" s="393" t="e">
        <f t="shared" si="13"/>
        <v>#DIV/0!</v>
      </c>
      <c r="AO30" s="393" t="e">
        <f t="shared" si="14"/>
        <v>#DIV/0!</v>
      </c>
      <c r="AP30" s="393" t="e">
        <f t="shared" si="15"/>
        <v>#DIV/0!</v>
      </c>
      <c r="AQ30" s="393" t="e">
        <f t="shared" si="16"/>
        <v>#DIV/0!</v>
      </c>
      <c r="AR30" s="393" t="e">
        <f t="shared" si="17"/>
        <v>#DIV/0!</v>
      </c>
      <c r="AS30" s="393" t="e">
        <f t="shared" si="18"/>
        <v>#DIV/0!</v>
      </c>
      <c r="AT30" s="393" t="e">
        <f t="shared" si="19"/>
        <v>#DIV/0!</v>
      </c>
      <c r="AU30" s="393" t="e">
        <f t="shared" si="20"/>
        <v>#DIV/0!</v>
      </c>
      <c r="AV30" s="393" t="e">
        <f t="shared" si="21"/>
        <v>#DIV/0!</v>
      </c>
      <c r="AW30" s="393" t="e">
        <f t="shared" si="22"/>
        <v>#DIV/0!</v>
      </c>
      <c r="AX30" s="393">
        <f t="shared" si="23"/>
        <v>-100</v>
      </c>
      <c r="AY30" s="393" t="e">
        <f t="shared" si="24"/>
        <v>#DIV/0!</v>
      </c>
      <c r="AZ30" s="393">
        <f t="shared" si="25"/>
        <v>3.9830000000000001</v>
      </c>
      <c r="BA30" s="393">
        <f t="shared" si="26"/>
        <v>6.8550000000000004</v>
      </c>
      <c r="BB30" s="393">
        <f t="shared" si="27"/>
        <v>-3.262</v>
      </c>
    </row>
    <row r="31" spans="1:54" x14ac:dyDescent="0.25">
      <c r="A31" s="360" t="s">
        <v>4691</v>
      </c>
      <c r="B31" s="480"/>
      <c r="C31" s="480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>
        <v>0.623</v>
      </c>
      <c r="AB31" s="480">
        <v>0.61099999999999999</v>
      </c>
      <c r="AC31" s="393" t="e">
        <f t="shared" si="2"/>
        <v>#DIV/0!</v>
      </c>
      <c r="AD31" s="393" t="e">
        <f t="shared" si="3"/>
        <v>#DIV/0!</v>
      </c>
      <c r="AE31" s="393" t="e">
        <f t="shared" si="4"/>
        <v>#DIV/0!</v>
      </c>
      <c r="AF31" s="393" t="e">
        <f t="shared" si="5"/>
        <v>#DIV/0!</v>
      </c>
      <c r="AG31" s="393" t="e">
        <f t="shared" si="6"/>
        <v>#DIV/0!</v>
      </c>
      <c r="AH31" s="393" t="e">
        <f t="shared" si="7"/>
        <v>#DIV/0!</v>
      </c>
      <c r="AI31" s="393" t="e">
        <f t="shared" si="8"/>
        <v>#DIV/0!</v>
      </c>
      <c r="AJ31" s="393" t="e">
        <f t="shared" si="9"/>
        <v>#DIV/0!</v>
      </c>
      <c r="AK31" s="393" t="e">
        <f t="shared" si="10"/>
        <v>#DIV/0!</v>
      </c>
      <c r="AL31" s="393" t="e">
        <f t="shared" si="11"/>
        <v>#DIV/0!</v>
      </c>
      <c r="AM31" s="393" t="e">
        <f t="shared" si="12"/>
        <v>#DIV/0!</v>
      </c>
      <c r="AN31" s="393" t="e">
        <f t="shared" si="13"/>
        <v>#DIV/0!</v>
      </c>
      <c r="AO31" s="393" t="e">
        <f t="shared" si="14"/>
        <v>#DIV/0!</v>
      </c>
      <c r="AP31" s="393" t="e">
        <f t="shared" si="15"/>
        <v>#DIV/0!</v>
      </c>
      <c r="AQ31" s="393" t="e">
        <f t="shared" si="16"/>
        <v>#DIV/0!</v>
      </c>
      <c r="AR31" s="393" t="e">
        <f t="shared" si="17"/>
        <v>#DIV/0!</v>
      </c>
      <c r="AS31" s="393" t="e">
        <f t="shared" si="18"/>
        <v>#DIV/0!</v>
      </c>
      <c r="AT31" s="393" t="e">
        <f t="shared" si="19"/>
        <v>#DIV/0!</v>
      </c>
      <c r="AU31" s="393" t="e">
        <f t="shared" si="20"/>
        <v>#DIV/0!</v>
      </c>
      <c r="AV31" s="393" t="e">
        <f t="shared" si="21"/>
        <v>#DIV/0!</v>
      </c>
      <c r="AW31" s="393" t="e">
        <f t="shared" si="22"/>
        <v>#DIV/0!</v>
      </c>
      <c r="AX31" s="393" t="e">
        <f t="shared" si="23"/>
        <v>#DIV/0!</v>
      </c>
      <c r="AY31" s="393" t="e">
        <f t="shared" si="24"/>
        <v>#DIV/0!</v>
      </c>
      <c r="AZ31" s="393" t="e">
        <f t="shared" si="25"/>
        <v>#DIV/0!</v>
      </c>
      <c r="BA31" s="393" t="e">
        <f t="shared" si="26"/>
        <v>#DIV/0!</v>
      </c>
      <c r="BB31" s="393">
        <f t="shared" si="27"/>
        <v>-1.9259999999999999</v>
      </c>
    </row>
    <row r="32" spans="1:54" x14ac:dyDescent="0.25">
      <c r="A32" s="360" t="s">
        <v>4651</v>
      </c>
      <c r="B32" s="480"/>
      <c r="C32" s="480"/>
      <c r="D32" s="480"/>
      <c r="E32" s="480"/>
      <c r="F32" s="480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0"/>
      <c r="Y32" s="480"/>
      <c r="Z32" s="480"/>
      <c r="AA32" s="480">
        <v>0.63400000000000001</v>
      </c>
      <c r="AB32" s="480">
        <v>0.628</v>
      </c>
      <c r="AC32" s="393" t="e">
        <f t="shared" si="2"/>
        <v>#DIV/0!</v>
      </c>
      <c r="AD32" s="393" t="e">
        <f t="shared" si="3"/>
        <v>#DIV/0!</v>
      </c>
      <c r="AE32" s="393" t="e">
        <f t="shared" si="4"/>
        <v>#DIV/0!</v>
      </c>
      <c r="AF32" s="393" t="e">
        <f t="shared" si="5"/>
        <v>#DIV/0!</v>
      </c>
      <c r="AG32" s="393" t="e">
        <f t="shared" si="6"/>
        <v>#DIV/0!</v>
      </c>
      <c r="AH32" s="393" t="e">
        <f t="shared" si="7"/>
        <v>#DIV/0!</v>
      </c>
      <c r="AI32" s="393" t="e">
        <f t="shared" si="8"/>
        <v>#DIV/0!</v>
      </c>
      <c r="AJ32" s="393" t="e">
        <f t="shared" si="9"/>
        <v>#DIV/0!</v>
      </c>
      <c r="AK32" s="393" t="e">
        <f t="shared" si="10"/>
        <v>#DIV/0!</v>
      </c>
      <c r="AL32" s="393" t="e">
        <f t="shared" si="11"/>
        <v>#DIV/0!</v>
      </c>
      <c r="AM32" s="393" t="e">
        <f t="shared" si="12"/>
        <v>#DIV/0!</v>
      </c>
      <c r="AN32" s="393" t="e">
        <f t="shared" si="13"/>
        <v>#DIV/0!</v>
      </c>
      <c r="AO32" s="393" t="e">
        <f t="shared" si="14"/>
        <v>#DIV/0!</v>
      </c>
      <c r="AP32" s="393" t="e">
        <f t="shared" si="15"/>
        <v>#DIV/0!</v>
      </c>
      <c r="AQ32" s="393" t="e">
        <f t="shared" si="16"/>
        <v>#DIV/0!</v>
      </c>
      <c r="AR32" s="393" t="e">
        <f t="shared" si="17"/>
        <v>#DIV/0!</v>
      </c>
      <c r="AS32" s="393" t="e">
        <f t="shared" si="18"/>
        <v>#DIV/0!</v>
      </c>
      <c r="AT32" s="393" t="e">
        <f t="shared" si="19"/>
        <v>#DIV/0!</v>
      </c>
      <c r="AU32" s="393" t="e">
        <f t="shared" si="20"/>
        <v>#DIV/0!</v>
      </c>
      <c r="AV32" s="393" t="e">
        <f t="shared" si="21"/>
        <v>#DIV/0!</v>
      </c>
      <c r="AW32" s="393" t="e">
        <f t="shared" si="22"/>
        <v>#DIV/0!</v>
      </c>
      <c r="AX32" s="393" t="e">
        <f t="shared" si="23"/>
        <v>#DIV/0!</v>
      </c>
      <c r="AY32" s="393" t="e">
        <f t="shared" si="24"/>
        <v>#DIV/0!</v>
      </c>
      <c r="AZ32" s="393" t="e">
        <f t="shared" si="25"/>
        <v>#DIV/0!</v>
      </c>
      <c r="BA32" s="393" t="e">
        <f t="shared" si="26"/>
        <v>#DIV/0!</v>
      </c>
      <c r="BB32" s="393">
        <f t="shared" si="27"/>
        <v>-0.94599999999999995</v>
      </c>
    </row>
    <row r="33" spans="1:54" x14ac:dyDescent="0.25">
      <c r="A33" s="360" t="s">
        <v>4676</v>
      </c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>
        <v>0.70599999999999996</v>
      </c>
      <c r="AB33" s="480">
        <v>0.7</v>
      </c>
      <c r="AC33" s="393" t="e">
        <f t="shared" si="2"/>
        <v>#DIV/0!</v>
      </c>
      <c r="AD33" s="393" t="e">
        <f t="shared" si="3"/>
        <v>#DIV/0!</v>
      </c>
      <c r="AE33" s="393" t="e">
        <f t="shared" si="4"/>
        <v>#DIV/0!</v>
      </c>
      <c r="AF33" s="393" t="e">
        <f t="shared" si="5"/>
        <v>#DIV/0!</v>
      </c>
      <c r="AG33" s="393" t="e">
        <f t="shared" si="6"/>
        <v>#DIV/0!</v>
      </c>
      <c r="AH33" s="393" t="e">
        <f t="shared" si="7"/>
        <v>#DIV/0!</v>
      </c>
      <c r="AI33" s="393" t="e">
        <f t="shared" si="8"/>
        <v>#DIV/0!</v>
      </c>
      <c r="AJ33" s="393" t="e">
        <f t="shared" si="9"/>
        <v>#DIV/0!</v>
      </c>
      <c r="AK33" s="393" t="e">
        <f t="shared" si="10"/>
        <v>#DIV/0!</v>
      </c>
      <c r="AL33" s="393" t="e">
        <f t="shared" si="11"/>
        <v>#DIV/0!</v>
      </c>
      <c r="AM33" s="393" t="e">
        <f t="shared" si="12"/>
        <v>#DIV/0!</v>
      </c>
      <c r="AN33" s="393" t="e">
        <f t="shared" si="13"/>
        <v>#DIV/0!</v>
      </c>
      <c r="AO33" s="393" t="e">
        <f t="shared" si="14"/>
        <v>#DIV/0!</v>
      </c>
      <c r="AP33" s="393" t="e">
        <f t="shared" si="15"/>
        <v>#DIV/0!</v>
      </c>
      <c r="AQ33" s="393" t="e">
        <f t="shared" si="16"/>
        <v>#DIV/0!</v>
      </c>
      <c r="AR33" s="393" t="e">
        <f t="shared" si="17"/>
        <v>#DIV/0!</v>
      </c>
      <c r="AS33" s="393" t="e">
        <f t="shared" si="18"/>
        <v>#DIV/0!</v>
      </c>
      <c r="AT33" s="393" t="e">
        <f t="shared" si="19"/>
        <v>#DIV/0!</v>
      </c>
      <c r="AU33" s="393" t="e">
        <f t="shared" si="20"/>
        <v>#DIV/0!</v>
      </c>
      <c r="AV33" s="393" t="e">
        <f t="shared" si="21"/>
        <v>#DIV/0!</v>
      </c>
      <c r="AW33" s="393" t="e">
        <f t="shared" si="22"/>
        <v>#DIV/0!</v>
      </c>
      <c r="AX33" s="393" t="e">
        <f t="shared" si="23"/>
        <v>#DIV/0!</v>
      </c>
      <c r="AY33" s="393" t="e">
        <f t="shared" si="24"/>
        <v>#DIV/0!</v>
      </c>
      <c r="AZ33" s="393" t="e">
        <f t="shared" si="25"/>
        <v>#DIV/0!</v>
      </c>
      <c r="BA33" s="393" t="e">
        <f t="shared" si="26"/>
        <v>#DIV/0!</v>
      </c>
      <c r="BB33" s="393">
        <f t="shared" si="27"/>
        <v>-0.85</v>
      </c>
    </row>
    <row r="34" spans="1:54" x14ac:dyDescent="0.25">
      <c r="A34" s="360" t="s">
        <v>1142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0"/>
      <c r="Y34" s="480"/>
      <c r="Z34" s="480">
        <f>1377/1800</f>
        <v>0.76500000000000001</v>
      </c>
      <c r="AA34" s="480">
        <v>0.80100000000000005</v>
      </c>
      <c r="AB34" s="480">
        <v>0.79900000000000004</v>
      </c>
      <c r="AC34" s="393" t="e">
        <f t="shared" si="2"/>
        <v>#DIV/0!</v>
      </c>
      <c r="AD34" s="393" t="e">
        <f t="shared" si="3"/>
        <v>#DIV/0!</v>
      </c>
      <c r="AE34" s="393" t="e">
        <f t="shared" si="4"/>
        <v>#DIV/0!</v>
      </c>
      <c r="AF34" s="393" t="e">
        <f t="shared" si="5"/>
        <v>#DIV/0!</v>
      </c>
      <c r="AG34" s="393" t="e">
        <f t="shared" si="6"/>
        <v>#DIV/0!</v>
      </c>
      <c r="AH34" s="393" t="e">
        <f t="shared" si="7"/>
        <v>#DIV/0!</v>
      </c>
      <c r="AI34" s="393" t="e">
        <f t="shared" si="8"/>
        <v>#DIV/0!</v>
      </c>
      <c r="AJ34" s="393" t="e">
        <f t="shared" si="9"/>
        <v>#DIV/0!</v>
      </c>
      <c r="AK34" s="393" t="e">
        <f t="shared" si="10"/>
        <v>#DIV/0!</v>
      </c>
      <c r="AL34" s="393" t="e">
        <f t="shared" si="11"/>
        <v>#DIV/0!</v>
      </c>
      <c r="AM34" s="393" t="e">
        <f t="shared" si="12"/>
        <v>#DIV/0!</v>
      </c>
      <c r="AN34" s="393" t="e">
        <f t="shared" si="13"/>
        <v>#DIV/0!</v>
      </c>
      <c r="AO34" s="393" t="e">
        <f t="shared" si="14"/>
        <v>#DIV/0!</v>
      </c>
      <c r="AP34" s="393" t="e">
        <f t="shared" si="15"/>
        <v>#DIV/0!</v>
      </c>
      <c r="AQ34" s="393" t="e">
        <f t="shared" si="16"/>
        <v>#DIV/0!</v>
      </c>
      <c r="AR34" s="393" t="e">
        <f t="shared" si="17"/>
        <v>#DIV/0!</v>
      </c>
      <c r="AS34" s="393" t="e">
        <f t="shared" si="18"/>
        <v>#DIV/0!</v>
      </c>
      <c r="AT34" s="393" t="e">
        <f t="shared" si="19"/>
        <v>#DIV/0!</v>
      </c>
      <c r="AU34" s="393" t="e">
        <f t="shared" si="20"/>
        <v>#DIV/0!</v>
      </c>
      <c r="AV34" s="393" t="e">
        <f t="shared" si="21"/>
        <v>#DIV/0!</v>
      </c>
      <c r="AW34" s="393" t="e">
        <f t="shared" si="22"/>
        <v>#DIV/0!</v>
      </c>
      <c r="AX34" s="393" t="e">
        <f t="shared" si="23"/>
        <v>#DIV/0!</v>
      </c>
      <c r="AY34" s="393" t="e">
        <f t="shared" si="24"/>
        <v>#DIV/0!</v>
      </c>
      <c r="AZ34" s="393" t="e">
        <f t="shared" si="25"/>
        <v>#DIV/0!</v>
      </c>
      <c r="BA34" s="393">
        <f t="shared" si="26"/>
        <v>4.7060000000000004</v>
      </c>
      <c r="BB34" s="393">
        <f t="shared" si="27"/>
        <v>-0.25</v>
      </c>
    </row>
    <row r="35" spans="1:54" x14ac:dyDescent="0.25">
      <c r="A35" s="360" t="s">
        <v>4678</v>
      </c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>
        <v>0.69699999999999995</v>
      </c>
      <c r="AB35" s="480">
        <v>0.69899999999999995</v>
      </c>
      <c r="AC35" s="393" t="e">
        <f t="shared" si="2"/>
        <v>#DIV/0!</v>
      </c>
      <c r="AD35" s="393" t="e">
        <f t="shared" si="3"/>
        <v>#DIV/0!</v>
      </c>
      <c r="AE35" s="393" t="e">
        <f t="shared" si="4"/>
        <v>#DIV/0!</v>
      </c>
      <c r="AF35" s="393" t="e">
        <f t="shared" si="5"/>
        <v>#DIV/0!</v>
      </c>
      <c r="AG35" s="393" t="e">
        <f t="shared" si="6"/>
        <v>#DIV/0!</v>
      </c>
      <c r="AH35" s="393" t="e">
        <f t="shared" si="7"/>
        <v>#DIV/0!</v>
      </c>
      <c r="AI35" s="393" t="e">
        <f t="shared" si="8"/>
        <v>#DIV/0!</v>
      </c>
      <c r="AJ35" s="393" t="e">
        <f t="shared" si="9"/>
        <v>#DIV/0!</v>
      </c>
      <c r="AK35" s="393" t="e">
        <f t="shared" si="10"/>
        <v>#DIV/0!</v>
      </c>
      <c r="AL35" s="393" t="e">
        <f t="shared" si="11"/>
        <v>#DIV/0!</v>
      </c>
      <c r="AM35" s="393" t="e">
        <f t="shared" si="12"/>
        <v>#DIV/0!</v>
      </c>
      <c r="AN35" s="393" t="e">
        <f t="shared" si="13"/>
        <v>#DIV/0!</v>
      </c>
      <c r="AO35" s="393" t="e">
        <f t="shared" si="14"/>
        <v>#DIV/0!</v>
      </c>
      <c r="AP35" s="393" t="e">
        <f t="shared" si="15"/>
        <v>#DIV/0!</v>
      </c>
      <c r="AQ35" s="393" t="e">
        <f t="shared" si="16"/>
        <v>#DIV/0!</v>
      </c>
      <c r="AR35" s="393" t="e">
        <f t="shared" si="17"/>
        <v>#DIV/0!</v>
      </c>
      <c r="AS35" s="393" t="e">
        <f t="shared" si="18"/>
        <v>#DIV/0!</v>
      </c>
      <c r="AT35" s="393" t="e">
        <f t="shared" si="19"/>
        <v>#DIV/0!</v>
      </c>
      <c r="AU35" s="393" t="e">
        <f t="shared" si="20"/>
        <v>#DIV/0!</v>
      </c>
      <c r="AV35" s="393" t="e">
        <f t="shared" si="21"/>
        <v>#DIV/0!</v>
      </c>
      <c r="AW35" s="393" t="e">
        <f t="shared" si="22"/>
        <v>#DIV/0!</v>
      </c>
      <c r="AX35" s="393" t="e">
        <f t="shared" si="23"/>
        <v>#DIV/0!</v>
      </c>
      <c r="AY35" s="393" t="e">
        <f t="shared" si="24"/>
        <v>#DIV/0!</v>
      </c>
      <c r="AZ35" s="393" t="e">
        <f t="shared" si="25"/>
        <v>#DIV/0!</v>
      </c>
      <c r="BA35" s="393" t="e">
        <f t="shared" si="26"/>
        <v>#DIV/0!</v>
      </c>
      <c r="BB35" s="393">
        <f t="shared" si="27"/>
        <v>0.28699999999999998</v>
      </c>
    </row>
    <row r="36" spans="1:54" x14ac:dyDescent="0.25">
      <c r="A36" s="355" t="s">
        <v>52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>
        <f>1115/1800</f>
        <v>0.61939999999999995</v>
      </c>
      <c r="V36" s="481">
        <f>806/1200</f>
        <v>0.67169999999999996</v>
      </c>
      <c r="W36" s="481">
        <f>805/1200</f>
        <v>0.67079999999999995</v>
      </c>
      <c r="X36" s="481"/>
      <c r="Y36" s="481">
        <f>1200/1800</f>
        <v>0.66669999999999996</v>
      </c>
      <c r="Z36" s="481"/>
      <c r="AA36" s="481">
        <v>0.66300000000000003</v>
      </c>
      <c r="AB36" s="481">
        <v>0.67100000000000004</v>
      </c>
      <c r="AC36" s="393" t="e">
        <f t="shared" si="2"/>
        <v>#DIV/0!</v>
      </c>
      <c r="AD36" s="393" t="e">
        <f t="shared" si="3"/>
        <v>#DIV/0!</v>
      </c>
      <c r="AE36" s="393" t="e">
        <f t="shared" si="4"/>
        <v>#DIV/0!</v>
      </c>
      <c r="AF36" s="393" t="e">
        <f t="shared" si="5"/>
        <v>#DIV/0!</v>
      </c>
      <c r="AG36" s="393" t="e">
        <f t="shared" si="6"/>
        <v>#DIV/0!</v>
      </c>
      <c r="AH36" s="393" t="e">
        <f t="shared" si="7"/>
        <v>#DIV/0!</v>
      </c>
      <c r="AI36" s="393" t="e">
        <f t="shared" si="8"/>
        <v>#DIV/0!</v>
      </c>
      <c r="AJ36" s="393" t="e">
        <f t="shared" si="9"/>
        <v>#DIV/0!</v>
      </c>
      <c r="AK36" s="393" t="e">
        <f t="shared" si="10"/>
        <v>#DIV/0!</v>
      </c>
      <c r="AL36" s="393" t="e">
        <f t="shared" si="11"/>
        <v>#DIV/0!</v>
      </c>
      <c r="AM36" s="393" t="e">
        <f t="shared" si="12"/>
        <v>#DIV/0!</v>
      </c>
      <c r="AN36" s="393" t="e">
        <f t="shared" si="13"/>
        <v>#DIV/0!</v>
      </c>
      <c r="AO36" s="393" t="e">
        <f t="shared" si="14"/>
        <v>#DIV/0!</v>
      </c>
      <c r="AP36" s="393" t="e">
        <f t="shared" si="15"/>
        <v>#DIV/0!</v>
      </c>
      <c r="AQ36" s="393" t="e">
        <f t="shared" si="16"/>
        <v>#DIV/0!</v>
      </c>
      <c r="AR36" s="393" t="e">
        <f t="shared" si="17"/>
        <v>#DIV/0!</v>
      </c>
      <c r="AS36" s="393" t="e">
        <f t="shared" si="18"/>
        <v>#DIV/0!</v>
      </c>
      <c r="AT36" s="393" t="e">
        <f t="shared" si="19"/>
        <v>#DIV/0!</v>
      </c>
      <c r="AU36" s="393" t="e">
        <f t="shared" si="20"/>
        <v>#DIV/0!</v>
      </c>
      <c r="AV36" s="393">
        <f t="shared" si="21"/>
        <v>8.4440000000000008</v>
      </c>
      <c r="AW36" s="393">
        <f t="shared" si="22"/>
        <v>-0.13400000000000001</v>
      </c>
      <c r="AX36" s="393">
        <f t="shared" si="23"/>
        <v>-100</v>
      </c>
      <c r="AY36" s="393" t="e">
        <f t="shared" si="24"/>
        <v>#DIV/0!</v>
      </c>
      <c r="AZ36" s="393">
        <f t="shared" si="25"/>
        <v>-100</v>
      </c>
      <c r="BA36" s="393" t="e">
        <f t="shared" si="26"/>
        <v>#DIV/0!</v>
      </c>
      <c r="BB36" s="393">
        <f t="shared" si="27"/>
        <v>1.2070000000000001</v>
      </c>
    </row>
    <row r="37" spans="1:54" x14ac:dyDescent="0.25">
      <c r="A37" s="360" t="s">
        <v>4664</v>
      </c>
      <c r="B37" s="480"/>
      <c r="C37" s="480"/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>
        <v>0.74299999999999999</v>
      </c>
      <c r="AB37" s="480">
        <v>0.753</v>
      </c>
      <c r="AC37" s="393" t="e">
        <f t="shared" si="2"/>
        <v>#DIV/0!</v>
      </c>
      <c r="AD37" s="393" t="e">
        <f t="shared" si="3"/>
        <v>#DIV/0!</v>
      </c>
      <c r="AE37" s="393" t="e">
        <f t="shared" si="4"/>
        <v>#DIV/0!</v>
      </c>
      <c r="AF37" s="393" t="e">
        <f t="shared" si="5"/>
        <v>#DIV/0!</v>
      </c>
      <c r="AG37" s="393" t="e">
        <f t="shared" si="6"/>
        <v>#DIV/0!</v>
      </c>
      <c r="AH37" s="393" t="e">
        <f t="shared" si="7"/>
        <v>#DIV/0!</v>
      </c>
      <c r="AI37" s="393" t="e">
        <f t="shared" si="8"/>
        <v>#DIV/0!</v>
      </c>
      <c r="AJ37" s="393" t="e">
        <f t="shared" si="9"/>
        <v>#DIV/0!</v>
      </c>
      <c r="AK37" s="393" t="e">
        <f t="shared" si="10"/>
        <v>#DIV/0!</v>
      </c>
      <c r="AL37" s="393" t="e">
        <f t="shared" si="11"/>
        <v>#DIV/0!</v>
      </c>
      <c r="AM37" s="393" t="e">
        <f t="shared" si="12"/>
        <v>#DIV/0!</v>
      </c>
      <c r="AN37" s="393" t="e">
        <f t="shared" si="13"/>
        <v>#DIV/0!</v>
      </c>
      <c r="AO37" s="393" t="e">
        <f t="shared" si="14"/>
        <v>#DIV/0!</v>
      </c>
      <c r="AP37" s="393" t="e">
        <f t="shared" si="15"/>
        <v>#DIV/0!</v>
      </c>
      <c r="AQ37" s="393" t="e">
        <f t="shared" si="16"/>
        <v>#DIV/0!</v>
      </c>
      <c r="AR37" s="393" t="e">
        <f t="shared" si="17"/>
        <v>#DIV/0!</v>
      </c>
      <c r="AS37" s="393" t="e">
        <f t="shared" si="18"/>
        <v>#DIV/0!</v>
      </c>
      <c r="AT37" s="393" t="e">
        <f t="shared" si="19"/>
        <v>#DIV/0!</v>
      </c>
      <c r="AU37" s="393" t="e">
        <f t="shared" si="20"/>
        <v>#DIV/0!</v>
      </c>
      <c r="AV37" s="393" t="e">
        <f t="shared" si="21"/>
        <v>#DIV/0!</v>
      </c>
      <c r="AW37" s="393" t="e">
        <f t="shared" si="22"/>
        <v>#DIV/0!</v>
      </c>
      <c r="AX37" s="393" t="e">
        <f t="shared" si="23"/>
        <v>#DIV/0!</v>
      </c>
      <c r="AY37" s="393" t="e">
        <f t="shared" si="24"/>
        <v>#DIV/0!</v>
      </c>
      <c r="AZ37" s="393" t="e">
        <f t="shared" si="25"/>
        <v>#DIV/0!</v>
      </c>
      <c r="BA37" s="393" t="e">
        <f t="shared" si="26"/>
        <v>#DIV/0!</v>
      </c>
      <c r="BB37" s="393">
        <f t="shared" si="27"/>
        <v>1.3460000000000001</v>
      </c>
    </row>
    <row r="38" spans="1:54" x14ac:dyDescent="0.25">
      <c r="A38" s="360" t="s">
        <v>4515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>
        <f>1368/1800</f>
        <v>0.76</v>
      </c>
      <c r="AA38" s="480">
        <v>0.76300000000000001</v>
      </c>
      <c r="AB38" s="480">
        <v>0.78600000000000003</v>
      </c>
      <c r="AC38" s="393" t="e">
        <f t="shared" si="2"/>
        <v>#DIV/0!</v>
      </c>
      <c r="AD38" s="393" t="e">
        <f t="shared" si="3"/>
        <v>#DIV/0!</v>
      </c>
      <c r="AE38" s="393" t="e">
        <f t="shared" si="4"/>
        <v>#DIV/0!</v>
      </c>
      <c r="AF38" s="393" t="e">
        <f t="shared" si="5"/>
        <v>#DIV/0!</v>
      </c>
      <c r="AG38" s="393" t="e">
        <f t="shared" si="6"/>
        <v>#DIV/0!</v>
      </c>
      <c r="AH38" s="393" t="e">
        <f t="shared" si="7"/>
        <v>#DIV/0!</v>
      </c>
      <c r="AI38" s="393" t="e">
        <f t="shared" si="8"/>
        <v>#DIV/0!</v>
      </c>
      <c r="AJ38" s="393" t="e">
        <f t="shared" si="9"/>
        <v>#DIV/0!</v>
      </c>
      <c r="AK38" s="393" t="e">
        <f t="shared" si="10"/>
        <v>#DIV/0!</v>
      </c>
      <c r="AL38" s="393" t="e">
        <f t="shared" si="11"/>
        <v>#DIV/0!</v>
      </c>
      <c r="AM38" s="393" t="e">
        <f t="shared" si="12"/>
        <v>#DIV/0!</v>
      </c>
      <c r="AN38" s="393" t="e">
        <f t="shared" si="13"/>
        <v>#DIV/0!</v>
      </c>
      <c r="AO38" s="393" t="e">
        <f t="shared" si="14"/>
        <v>#DIV/0!</v>
      </c>
      <c r="AP38" s="393" t="e">
        <f t="shared" si="15"/>
        <v>#DIV/0!</v>
      </c>
      <c r="AQ38" s="393" t="e">
        <f t="shared" si="16"/>
        <v>#DIV/0!</v>
      </c>
      <c r="AR38" s="393" t="e">
        <f t="shared" si="17"/>
        <v>#DIV/0!</v>
      </c>
      <c r="AS38" s="393" t="e">
        <f t="shared" si="18"/>
        <v>#DIV/0!</v>
      </c>
      <c r="AT38" s="393" t="e">
        <f t="shared" si="19"/>
        <v>#DIV/0!</v>
      </c>
      <c r="AU38" s="393" t="e">
        <f t="shared" si="20"/>
        <v>#DIV/0!</v>
      </c>
      <c r="AV38" s="393" t="e">
        <f t="shared" si="21"/>
        <v>#DIV/0!</v>
      </c>
      <c r="AW38" s="393" t="e">
        <f t="shared" si="22"/>
        <v>#DIV/0!</v>
      </c>
      <c r="AX38" s="393" t="e">
        <f t="shared" si="23"/>
        <v>#DIV/0!</v>
      </c>
      <c r="AY38" s="393" t="e">
        <f t="shared" si="24"/>
        <v>#DIV/0!</v>
      </c>
      <c r="AZ38" s="393" t="e">
        <f t="shared" si="25"/>
        <v>#DIV/0!</v>
      </c>
      <c r="BA38" s="393">
        <f t="shared" si="26"/>
        <v>0.39500000000000002</v>
      </c>
      <c r="BB38" s="393">
        <f t="shared" si="27"/>
        <v>3.0139999999999998</v>
      </c>
    </row>
    <row r="39" spans="1:54" x14ac:dyDescent="0.25">
      <c r="A39" s="360" t="s">
        <v>4659</v>
      </c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>
        <v>0.75600000000000001</v>
      </c>
      <c r="AB39" s="480">
        <v>0.78100000000000003</v>
      </c>
      <c r="AC39" s="393" t="e">
        <f t="shared" si="2"/>
        <v>#DIV/0!</v>
      </c>
      <c r="AD39" s="393" t="e">
        <f t="shared" si="3"/>
        <v>#DIV/0!</v>
      </c>
      <c r="AE39" s="393" t="e">
        <f t="shared" si="4"/>
        <v>#DIV/0!</v>
      </c>
      <c r="AF39" s="393" t="e">
        <f t="shared" si="5"/>
        <v>#DIV/0!</v>
      </c>
      <c r="AG39" s="393" t="e">
        <f t="shared" si="6"/>
        <v>#DIV/0!</v>
      </c>
      <c r="AH39" s="393" t="e">
        <f t="shared" si="7"/>
        <v>#DIV/0!</v>
      </c>
      <c r="AI39" s="393" t="e">
        <f t="shared" si="8"/>
        <v>#DIV/0!</v>
      </c>
      <c r="AJ39" s="393" t="e">
        <f t="shared" si="9"/>
        <v>#DIV/0!</v>
      </c>
      <c r="AK39" s="393" t="e">
        <f t="shared" si="10"/>
        <v>#DIV/0!</v>
      </c>
      <c r="AL39" s="393" t="e">
        <f t="shared" si="11"/>
        <v>#DIV/0!</v>
      </c>
      <c r="AM39" s="393" t="e">
        <f t="shared" si="12"/>
        <v>#DIV/0!</v>
      </c>
      <c r="AN39" s="393" t="e">
        <f t="shared" si="13"/>
        <v>#DIV/0!</v>
      </c>
      <c r="AO39" s="393" t="e">
        <f t="shared" si="14"/>
        <v>#DIV/0!</v>
      </c>
      <c r="AP39" s="393" t="e">
        <f t="shared" si="15"/>
        <v>#DIV/0!</v>
      </c>
      <c r="AQ39" s="393" t="e">
        <f t="shared" si="16"/>
        <v>#DIV/0!</v>
      </c>
      <c r="AR39" s="393" t="e">
        <f t="shared" si="17"/>
        <v>#DIV/0!</v>
      </c>
      <c r="AS39" s="393" t="e">
        <f t="shared" si="18"/>
        <v>#DIV/0!</v>
      </c>
      <c r="AT39" s="393" t="e">
        <f t="shared" si="19"/>
        <v>#DIV/0!</v>
      </c>
      <c r="AU39" s="393" t="e">
        <f t="shared" si="20"/>
        <v>#DIV/0!</v>
      </c>
      <c r="AV39" s="393" t="e">
        <f t="shared" si="21"/>
        <v>#DIV/0!</v>
      </c>
      <c r="AW39" s="393" t="e">
        <f t="shared" si="22"/>
        <v>#DIV/0!</v>
      </c>
      <c r="AX39" s="393" t="e">
        <f t="shared" si="23"/>
        <v>#DIV/0!</v>
      </c>
      <c r="AY39" s="393" t="e">
        <f t="shared" si="24"/>
        <v>#DIV/0!</v>
      </c>
      <c r="AZ39" s="393" t="e">
        <f t="shared" si="25"/>
        <v>#DIV/0!</v>
      </c>
      <c r="BA39" s="393" t="e">
        <f t="shared" si="26"/>
        <v>#DIV/0!</v>
      </c>
      <c r="BB39" s="393">
        <f t="shared" si="27"/>
        <v>3.3069999999999999</v>
      </c>
    </row>
    <row r="40" spans="1:54" x14ac:dyDescent="0.25">
      <c r="A40" s="360" t="s">
        <v>4690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  <c r="AA40" s="480">
        <v>0.623</v>
      </c>
      <c r="AB40" s="480">
        <v>0.65200000000000002</v>
      </c>
      <c r="AC40" s="393" t="e">
        <f t="shared" si="2"/>
        <v>#DIV/0!</v>
      </c>
      <c r="AD40" s="393" t="e">
        <f t="shared" si="3"/>
        <v>#DIV/0!</v>
      </c>
      <c r="AE40" s="393" t="e">
        <f t="shared" si="4"/>
        <v>#DIV/0!</v>
      </c>
      <c r="AF40" s="393" t="e">
        <f t="shared" si="5"/>
        <v>#DIV/0!</v>
      </c>
      <c r="AG40" s="393" t="e">
        <f t="shared" si="6"/>
        <v>#DIV/0!</v>
      </c>
      <c r="AH40" s="393" t="e">
        <f t="shared" si="7"/>
        <v>#DIV/0!</v>
      </c>
      <c r="AI40" s="393" t="e">
        <f t="shared" si="8"/>
        <v>#DIV/0!</v>
      </c>
      <c r="AJ40" s="393" t="e">
        <f t="shared" si="9"/>
        <v>#DIV/0!</v>
      </c>
      <c r="AK40" s="393" t="e">
        <f t="shared" si="10"/>
        <v>#DIV/0!</v>
      </c>
      <c r="AL40" s="393" t="e">
        <f t="shared" si="11"/>
        <v>#DIV/0!</v>
      </c>
      <c r="AM40" s="393" t="e">
        <f t="shared" si="12"/>
        <v>#DIV/0!</v>
      </c>
      <c r="AN40" s="393" t="e">
        <f t="shared" si="13"/>
        <v>#DIV/0!</v>
      </c>
      <c r="AO40" s="393" t="e">
        <f t="shared" si="14"/>
        <v>#DIV/0!</v>
      </c>
      <c r="AP40" s="393" t="e">
        <f t="shared" si="15"/>
        <v>#DIV/0!</v>
      </c>
      <c r="AQ40" s="393" t="e">
        <f t="shared" si="16"/>
        <v>#DIV/0!</v>
      </c>
      <c r="AR40" s="393" t="e">
        <f t="shared" si="17"/>
        <v>#DIV/0!</v>
      </c>
      <c r="AS40" s="393" t="e">
        <f t="shared" si="18"/>
        <v>#DIV/0!</v>
      </c>
      <c r="AT40" s="393" t="e">
        <f t="shared" si="19"/>
        <v>#DIV/0!</v>
      </c>
      <c r="AU40" s="393" t="e">
        <f t="shared" si="20"/>
        <v>#DIV/0!</v>
      </c>
      <c r="AV40" s="393" t="e">
        <f t="shared" si="21"/>
        <v>#DIV/0!</v>
      </c>
      <c r="AW40" s="393" t="e">
        <f t="shared" si="22"/>
        <v>#DIV/0!</v>
      </c>
      <c r="AX40" s="393" t="e">
        <f t="shared" si="23"/>
        <v>#DIV/0!</v>
      </c>
      <c r="AY40" s="393" t="e">
        <f t="shared" si="24"/>
        <v>#DIV/0!</v>
      </c>
      <c r="AZ40" s="393" t="e">
        <f t="shared" si="25"/>
        <v>#DIV/0!</v>
      </c>
      <c r="BA40" s="393" t="e">
        <f t="shared" si="26"/>
        <v>#DIV/0!</v>
      </c>
      <c r="BB40" s="393">
        <f t="shared" si="27"/>
        <v>4.6550000000000002</v>
      </c>
    </row>
    <row r="41" spans="1:54" x14ac:dyDescent="0.25">
      <c r="A41" s="360" t="s">
        <v>4512</v>
      </c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>
        <f>999/1800</f>
        <v>0.55500000000000005</v>
      </c>
      <c r="Z41" s="480">
        <f>1009/1800</f>
        <v>0.56059999999999999</v>
      </c>
      <c r="AA41" s="480"/>
      <c r="AB41" s="480"/>
      <c r="AC41" s="393" t="e">
        <f t="shared" si="2"/>
        <v>#DIV/0!</v>
      </c>
      <c r="AD41" s="393" t="e">
        <f t="shared" si="3"/>
        <v>#DIV/0!</v>
      </c>
      <c r="AE41" s="393" t="e">
        <f t="shared" si="4"/>
        <v>#DIV/0!</v>
      </c>
      <c r="AF41" s="393" t="e">
        <f t="shared" si="5"/>
        <v>#DIV/0!</v>
      </c>
      <c r="AG41" s="393" t="e">
        <f t="shared" si="6"/>
        <v>#DIV/0!</v>
      </c>
      <c r="AH41" s="393" t="e">
        <f t="shared" si="7"/>
        <v>#DIV/0!</v>
      </c>
      <c r="AI41" s="393" t="e">
        <f t="shared" si="8"/>
        <v>#DIV/0!</v>
      </c>
      <c r="AJ41" s="393" t="e">
        <f t="shared" si="9"/>
        <v>#DIV/0!</v>
      </c>
      <c r="AK41" s="393" t="e">
        <f t="shared" si="10"/>
        <v>#DIV/0!</v>
      </c>
      <c r="AL41" s="393" t="e">
        <f t="shared" si="11"/>
        <v>#DIV/0!</v>
      </c>
      <c r="AM41" s="393" t="e">
        <f t="shared" si="12"/>
        <v>#DIV/0!</v>
      </c>
      <c r="AN41" s="393" t="e">
        <f t="shared" si="13"/>
        <v>#DIV/0!</v>
      </c>
      <c r="AO41" s="393" t="e">
        <f t="shared" si="14"/>
        <v>#DIV/0!</v>
      </c>
      <c r="AP41" s="393" t="e">
        <f t="shared" si="15"/>
        <v>#DIV/0!</v>
      </c>
      <c r="AQ41" s="393" t="e">
        <f t="shared" si="16"/>
        <v>#DIV/0!</v>
      </c>
      <c r="AR41" s="393" t="e">
        <f t="shared" si="17"/>
        <v>#DIV/0!</v>
      </c>
      <c r="AS41" s="393" t="e">
        <f t="shared" si="18"/>
        <v>#DIV/0!</v>
      </c>
      <c r="AT41" s="393" t="e">
        <f t="shared" si="19"/>
        <v>#DIV/0!</v>
      </c>
      <c r="AU41" s="393" t="e">
        <f t="shared" si="20"/>
        <v>#DIV/0!</v>
      </c>
      <c r="AV41" s="393" t="e">
        <f t="shared" si="21"/>
        <v>#DIV/0!</v>
      </c>
      <c r="AW41" s="393" t="e">
        <f t="shared" si="22"/>
        <v>#DIV/0!</v>
      </c>
      <c r="AX41" s="393" t="e">
        <f t="shared" si="23"/>
        <v>#DIV/0!</v>
      </c>
      <c r="AY41" s="393" t="e">
        <f t="shared" si="24"/>
        <v>#DIV/0!</v>
      </c>
      <c r="AZ41" s="393">
        <f t="shared" si="25"/>
        <v>1.0089999999999999</v>
      </c>
      <c r="BA41" s="393">
        <f t="shared" si="26"/>
        <v>-100</v>
      </c>
      <c r="BB41" s="393" t="e">
        <f t="shared" si="27"/>
        <v>#DIV/0!</v>
      </c>
    </row>
    <row r="42" spans="1:54" x14ac:dyDescent="0.25">
      <c r="A42" s="360" t="s">
        <v>4535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>
        <f>1167/1800</f>
        <v>0.64829999999999999</v>
      </c>
      <c r="AA42" s="480"/>
      <c r="AB42" s="480"/>
      <c r="AC42" s="393" t="e">
        <f t="shared" si="2"/>
        <v>#DIV/0!</v>
      </c>
      <c r="AD42" s="393" t="e">
        <f t="shared" si="3"/>
        <v>#DIV/0!</v>
      </c>
      <c r="AE42" s="393" t="e">
        <f t="shared" si="4"/>
        <v>#DIV/0!</v>
      </c>
      <c r="AF42" s="393" t="e">
        <f t="shared" si="5"/>
        <v>#DIV/0!</v>
      </c>
      <c r="AG42" s="393" t="e">
        <f t="shared" si="6"/>
        <v>#DIV/0!</v>
      </c>
      <c r="AH42" s="393" t="e">
        <f t="shared" si="7"/>
        <v>#DIV/0!</v>
      </c>
      <c r="AI42" s="393" t="e">
        <f t="shared" si="8"/>
        <v>#DIV/0!</v>
      </c>
      <c r="AJ42" s="393" t="e">
        <f t="shared" si="9"/>
        <v>#DIV/0!</v>
      </c>
      <c r="AK42" s="393" t="e">
        <f t="shared" si="10"/>
        <v>#DIV/0!</v>
      </c>
      <c r="AL42" s="393" t="e">
        <f t="shared" si="11"/>
        <v>#DIV/0!</v>
      </c>
      <c r="AM42" s="393" t="e">
        <f t="shared" si="12"/>
        <v>#DIV/0!</v>
      </c>
      <c r="AN42" s="393" t="e">
        <f t="shared" si="13"/>
        <v>#DIV/0!</v>
      </c>
      <c r="AO42" s="393" t="e">
        <f t="shared" si="14"/>
        <v>#DIV/0!</v>
      </c>
      <c r="AP42" s="393" t="e">
        <f t="shared" si="15"/>
        <v>#DIV/0!</v>
      </c>
      <c r="AQ42" s="393" t="e">
        <f t="shared" si="16"/>
        <v>#DIV/0!</v>
      </c>
      <c r="AR42" s="393" t="e">
        <f t="shared" si="17"/>
        <v>#DIV/0!</v>
      </c>
      <c r="AS42" s="393" t="e">
        <f t="shared" si="18"/>
        <v>#DIV/0!</v>
      </c>
      <c r="AT42" s="393" t="e">
        <f t="shared" si="19"/>
        <v>#DIV/0!</v>
      </c>
      <c r="AU42" s="393" t="e">
        <f t="shared" si="20"/>
        <v>#DIV/0!</v>
      </c>
      <c r="AV42" s="393" t="e">
        <f t="shared" si="21"/>
        <v>#DIV/0!</v>
      </c>
      <c r="AW42" s="393" t="e">
        <f t="shared" si="22"/>
        <v>#DIV/0!</v>
      </c>
      <c r="AX42" s="393" t="e">
        <f t="shared" si="23"/>
        <v>#DIV/0!</v>
      </c>
      <c r="AY42" s="393" t="e">
        <f t="shared" si="24"/>
        <v>#DIV/0!</v>
      </c>
      <c r="AZ42" s="393" t="e">
        <f t="shared" si="25"/>
        <v>#DIV/0!</v>
      </c>
      <c r="BA42" s="393">
        <f t="shared" si="26"/>
        <v>-100</v>
      </c>
      <c r="BB42" s="393" t="e">
        <f t="shared" si="27"/>
        <v>#DIV/0!</v>
      </c>
    </row>
    <row r="43" spans="1:54" x14ac:dyDescent="0.25">
      <c r="A43" s="360" t="s">
        <v>4551</v>
      </c>
      <c r="B43" s="480"/>
      <c r="C43" s="480"/>
      <c r="D43" s="480"/>
      <c r="E43" s="480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>
        <f>1079/1800</f>
        <v>0.59940000000000004</v>
      </c>
      <c r="AA43" s="480"/>
      <c r="AB43" s="480"/>
      <c r="AC43" s="393" t="e">
        <f t="shared" si="2"/>
        <v>#DIV/0!</v>
      </c>
      <c r="AD43" s="393" t="e">
        <f t="shared" si="3"/>
        <v>#DIV/0!</v>
      </c>
      <c r="AE43" s="393" t="e">
        <f t="shared" si="4"/>
        <v>#DIV/0!</v>
      </c>
      <c r="AF43" s="393" t="e">
        <f t="shared" si="5"/>
        <v>#DIV/0!</v>
      </c>
      <c r="AG43" s="393" t="e">
        <f t="shared" si="6"/>
        <v>#DIV/0!</v>
      </c>
      <c r="AH43" s="393" t="e">
        <f t="shared" si="7"/>
        <v>#DIV/0!</v>
      </c>
      <c r="AI43" s="393" t="e">
        <f t="shared" si="8"/>
        <v>#DIV/0!</v>
      </c>
      <c r="AJ43" s="393" t="e">
        <f t="shared" si="9"/>
        <v>#DIV/0!</v>
      </c>
      <c r="AK43" s="393" t="e">
        <f t="shared" si="10"/>
        <v>#DIV/0!</v>
      </c>
      <c r="AL43" s="393" t="e">
        <f t="shared" si="11"/>
        <v>#DIV/0!</v>
      </c>
      <c r="AM43" s="393" t="e">
        <f t="shared" si="12"/>
        <v>#DIV/0!</v>
      </c>
      <c r="AN43" s="393" t="e">
        <f t="shared" si="13"/>
        <v>#DIV/0!</v>
      </c>
      <c r="AO43" s="393" t="e">
        <f t="shared" si="14"/>
        <v>#DIV/0!</v>
      </c>
      <c r="AP43" s="393" t="e">
        <f t="shared" si="15"/>
        <v>#DIV/0!</v>
      </c>
      <c r="AQ43" s="393" t="e">
        <f t="shared" si="16"/>
        <v>#DIV/0!</v>
      </c>
      <c r="AR43" s="393" t="e">
        <f t="shared" si="17"/>
        <v>#DIV/0!</v>
      </c>
      <c r="AS43" s="393" t="e">
        <f t="shared" si="18"/>
        <v>#DIV/0!</v>
      </c>
      <c r="AT43" s="393" t="e">
        <f t="shared" si="19"/>
        <v>#DIV/0!</v>
      </c>
      <c r="AU43" s="393" t="e">
        <f t="shared" si="20"/>
        <v>#DIV/0!</v>
      </c>
      <c r="AV43" s="393" t="e">
        <f t="shared" si="21"/>
        <v>#DIV/0!</v>
      </c>
      <c r="AW43" s="393" t="e">
        <f t="shared" si="22"/>
        <v>#DIV/0!</v>
      </c>
      <c r="AX43" s="393" t="e">
        <f t="shared" si="23"/>
        <v>#DIV/0!</v>
      </c>
      <c r="AY43" s="393" t="e">
        <f t="shared" si="24"/>
        <v>#DIV/0!</v>
      </c>
      <c r="AZ43" s="393" t="e">
        <f t="shared" si="25"/>
        <v>#DIV/0!</v>
      </c>
      <c r="BA43" s="393">
        <f t="shared" si="26"/>
        <v>-100</v>
      </c>
      <c r="BB43" s="393" t="e">
        <f t="shared" si="27"/>
        <v>#DIV/0!</v>
      </c>
    </row>
    <row r="44" spans="1:54" x14ac:dyDescent="0.25">
      <c r="A44" s="360" t="s">
        <v>4525</v>
      </c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>
        <f>1260/1800</f>
        <v>0.7</v>
      </c>
      <c r="AA44" s="480"/>
      <c r="AB44" s="480">
        <v>0.69699999999999995</v>
      </c>
      <c r="AC44" s="393" t="e">
        <f t="shared" si="2"/>
        <v>#DIV/0!</v>
      </c>
      <c r="AD44" s="393" t="e">
        <f t="shared" si="3"/>
        <v>#DIV/0!</v>
      </c>
      <c r="AE44" s="393" t="e">
        <f t="shared" si="4"/>
        <v>#DIV/0!</v>
      </c>
      <c r="AF44" s="393" t="e">
        <f t="shared" si="5"/>
        <v>#DIV/0!</v>
      </c>
      <c r="AG44" s="393" t="e">
        <f t="shared" si="6"/>
        <v>#DIV/0!</v>
      </c>
      <c r="AH44" s="393" t="e">
        <f t="shared" si="7"/>
        <v>#DIV/0!</v>
      </c>
      <c r="AI44" s="393" t="e">
        <f t="shared" si="8"/>
        <v>#DIV/0!</v>
      </c>
      <c r="AJ44" s="393" t="e">
        <f t="shared" si="9"/>
        <v>#DIV/0!</v>
      </c>
      <c r="AK44" s="393" t="e">
        <f t="shared" si="10"/>
        <v>#DIV/0!</v>
      </c>
      <c r="AL44" s="393" t="e">
        <f t="shared" si="11"/>
        <v>#DIV/0!</v>
      </c>
      <c r="AM44" s="393" t="e">
        <f t="shared" si="12"/>
        <v>#DIV/0!</v>
      </c>
      <c r="AN44" s="393" t="e">
        <f t="shared" si="13"/>
        <v>#DIV/0!</v>
      </c>
      <c r="AO44" s="393" t="e">
        <f t="shared" si="14"/>
        <v>#DIV/0!</v>
      </c>
      <c r="AP44" s="393" t="e">
        <f t="shared" si="15"/>
        <v>#DIV/0!</v>
      </c>
      <c r="AQ44" s="393" t="e">
        <f t="shared" si="16"/>
        <v>#DIV/0!</v>
      </c>
      <c r="AR44" s="393" t="e">
        <f t="shared" si="17"/>
        <v>#DIV/0!</v>
      </c>
      <c r="AS44" s="393" t="e">
        <f t="shared" si="18"/>
        <v>#DIV/0!</v>
      </c>
      <c r="AT44" s="393" t="e">
        <f t="shared" si="19"/>
        <v>#DIV/0!</v>
      </c>
      <c r="AU44" s="393" t="e">
        <f t="shared" si="20"/>
        <v>#DIV/0!</v>
      </c>
      <c r="AV44" s="393" t="e">
        <f t="shared" si="21"/>
        <v>#DIV/0!</v>
      </c>
      <c r="AW44" s="393" t="e">
        <f t="shared" si="22"/>
        <v>#DIV/0!</v>
      </c>
      <c r="AX44" s="393" t="e">
        <f t="shared" si="23"/>
        <v>#DIV/0!</v>
      </c>
      <c r="AY44" s="393" t="e">
        <f t="shared" si="24"/>
        <v>#DIV/0!</v>
      </c>
      <c r="AZ44" s="393" t="e">
        <f t="shared" si="25"/>
        <v>#DIV/0!</v>
      </c>
      <c r="BA44" s="393">
        <f t="shared" si="26"/>
        <v>-100</v>
      </c>
      <c r="BB44" s="393" t="e">
        <f t="shared" si="27"/>
        <v>#DIV/0!</v>
      </c>
    </row>
    <row r="45" spans="1:54" x14ac:dyDescent="0.25">
      <c r="A45" s="360" t="s">
        <v>4521</v>
      </c>
      <c r="B45" s="480"/>
      <c r="C45" s="480"/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0"/>
      <c r="Y45" s="480"/>
      <c r="Z45" s="480">
        <f>1345/1800</f>
        <v>0.74719999999999998</v>
      </c>
      <c r="AA45" s="480"/>
      <c r="AB45" s="480"/>
      <c r="AC45" s="393" t="e">
        <f t="shared" si="2"/>
        <v>#DIV/0!</v>
      </c>
      <c r="AD45" s="393" t="e">
        <f t="shared" si="3"/>
        <v>#DIV/0!</v>
      </c>
      <c r="AE45" s="393" t="e">
        <f t="shared" si="4"/>
        <v>#DIV/0!</v>
      </c>
      <c r="AF45" s="393" t="e">
        <f t="shared" si="5"/>
        <v>#DIV/0!</v>
      </c>
      <c r="AG45" s="393" t="e">
        <f t="shared" si="6"/>
        <v>#DIV/0!</v>
      </c>
      <c r="AH45" s="393" t="e">
        <f t="shared" si="7"/>
        <v>#DIV/0!</v>
      </c>
      <c r="AI45" s="393" t="e">
        <f t="shared" si="8"/>
        <v>#DIV/0!</v>
      </c>
      <c r="AJ45" s="393" t="e">
        <f t="shared" si="9"/>
        <v>#DIV/0!</v>
      </c>
      <c r="AK45" s="393" t="e">
        <f t="shared" si="10"/>
        <v>#DIV/0!</v>
      </c>
      <c r="AL45" s="393" t="e">
        <f t="shared" si="11"/>
        <v>#DIV/0!</v>
      </c>
      <c r="AM45" s="393" t="e">
        <f t="shared" si="12"/>
        <v>#DIV/0!</v>
      </c>
      <c r="AN45" s="393" t="e">
        <f t="shared" si="13"/>
        <v>#DIV/0!</v>
      </c>
      <c r="AO45" s="393" t="e">
        <f t="shared" si="14"/>
        <v>#DIV/0!</v>
      </c>
      <c r="AP45" s="393" t="e">
        <f t="shared" si="15"/>
        <v>#DIV/0!</v>
      </c>
      <c r="AQ45" s="393" t="e">
        <f t="shared" si="16"/>
        <v>#DIV/0!</v>
      </c>
      <c r="AR45" s="393" t="e">
        <f t="shared" si="17"/>
        <v>#DIV/0!</v>
      </c>
      <c r="AS45" s="393" t="e">
        <f t="shared" si="18"/>
        <v>#DIV/0!</v>
      </c>
      <c r="AT45" s="393" t="e">
        <f t="shared" si="19"/>
        <v>#DIV/0!</v>
      </c>
      <c r="AU45" s="393" t="e">
        <f t="shared" si="20"/>
        <v>#DIV/0!</v>
      </c>
      <c r="AV45" s="393" t="e">
        <f t="shared" si="21"/>
        <v>#DIV/0!</v>
      </c>
      <c r="AW45" s="393" t="e">
        <f t="shared" si="22"/>
        <v>#DIV/0!</v>
      </c>
      <c r="AX45" s="393" t="e">
        <f t="shared" si="23"/>
        <v>#DIV/0!</v>
      </c>
      <c r="AY45" s="393" t="e">
        <f t="shared" si="24"/>
        <v>#DIV/0!</v>
      </c>
      <c r="AZ45" s="393" t="e">
        <f t="shared" si="25"/>
        <v>#DIV/0!</v>
      </c>
      <c r="BA45" s="393">
        <f t="shared" si="26"/>
        <v>-100</v>
      </c>
      <c r="BB45" s="393" t="e">
        <f t="shared" si="27"/>
        <v>#DIV/0!</v>
      </c>
    </row>
    <row r="46" spans="1:54" x14ac:dyDescent="0.25">
      <c r="A46" s="361" t="s">
        <v>1190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0">
        <f>994/1800</f>
        <v>0.55220000000000002</v>
      </c>
      <c r="Y46" s="480"/>
      <c r="Z46" s="480">
        <f>1023/1800</f>
        <v>0.56830000000000003</v>
      </c>
      <c r="AA46" s="480"/>
      <c r="AB46" s="480"/>
      <c r="AC46" s="393" t="e">
        <f t="shared" si="2"/>
        <v>#DIV/0!</v>
      </c>
      <c r="AD46" s="393" t="e">
        <f t="shared" si="3"/>
        <v>#DIV/0!</v>
      </c>
      <c r="AE46" s="393" t="e">
        <f t="shared" si="4"/>
        <v>#DIV/0!</v>
      </c>
      <c r="AF46" s="393" t="e">
        <f t="shared" si="5"/>
        <v>#DIV/0!</v>
      </c>
      <c r="AG46" s="393" t="e">
        <f t="shared" si="6"/>
        <v>#DIV/0!</v>
      </c>
      <c r="AH46" s="393" t="e">
        <f t="shared" si="7"/>
        <v>#DIV/0!</v>
      </c>
      <c r="AI46" s="393" t="e">
        <f t="shared" si="8"/>
        <v>#DIV/0!</v>
      </c>
      <c r="AJ46" s="393" t="e">
        <f t="shared" si="9"/>
        <v>#DIV/0!</v>
      </c>
      <c r="AK46" s="393" t="e">
        <f t="shared" si="10"/>
        <v>#DIV/0!</v>
      </c>
      <c r="AL46" s="393" t="e">
        <f t="shared" si="11"/>
        <v>#DIV/0!</v>
      </c>
      <c r="AM46" s="393" t="e">
        <f t="shared" si="12"/>
        <v>#DIV/0!</v>
      </c>
      <c r="AN46" s="393" t="e">
        <f t="shared" si="13"/>
        <v>#DIV/0!</v>
      </c>
      <c r="AO46" s="393" t="e">
        <f t="shared" si="14"/>
        <v>#DIV/0!</v>
      </c>
      <c r="AP46" s="393" t="e">
        <f t="shared" si="15"/>
        <v>#DIV/0!</v>
      </c>
      <c r="AQ46" s="393" t="e">
        <f t="shared" si="16"/>
        <v>#DIV/0!</v>
      </c>
      <c r="AR46" s="393" t="e">
        <f t="shared" si="17"/>
        <v>#DIV/0!</v>
      </c>
      <c r="AS46" s="393" t="e">
        <f t="shared" si="18"/>
        <v>#DIV/0!</v>
      </c>
      <c r="AT46" s="393" t="e">
        <f t="shared" si="19"/>
        <v>#DIV/0!</v>
      </c>
      <c r="AU46" s="393" t="e">
        <f t="shared" si="20"/>
        <v>#DIV/0!</v>
      </c>
      <c r="AV46" s="393" t="e">
        <f t="shared" si="21"/>
        <v>#DIV/0!</v>
      </c>
      <c r="AW46" s="393" t="e">
        <f t="shared" si="22"/>
        <v>#DIV/0!</v>
      </c>
      <c r="AX46" s="393" t="e">
        <f t="shared" si="23"/>
        <v>#DIV/0!</v>
      </c>
      <c r="AY46" s="393">
        <f t="shared" si="24"/>
        <v>-100</v>
      </c>
      <c r="AZ46" s="393" t="e">
        <f t="shared" si="25"/>
        <v>#DIV/0!</v>
      </c>
      <c r="BA46" s="393">
        <f t="shared" si="26"/>
        <v>-100</v>
      </c>
      <c r="BB46" s="393" t="e">
        <f t="shared" si="27"/>
        <v>#DIV/0!</v>
      </c>
    </row>
    <row r="47" spans="1:54" x14ac:dyDescent="0.25">
      <c r="A47" s="361" t="s">
        <v>4508</v>
      </c>
      <c r="B47" s="480"/>
      <c r="C47" s="480"/>
      <c r="D47" s="480"/>
      <c r="E47" s="480"/>
      <c r="F47" s="480"/>
      <c r="G47" s="480"/>
      <c r="H47" s="480"/>
      <c r="I47" s="480"/>
      <c r="J47" s="480"/>
      <c r="K47" s="480"/>
      <c r="L47" s="480"/>
      <c r="M47" s="480"/>
      <c r="N47" s="480"/>
      <c r="O47" s="480"/>
      <c r="P47" s="480"/>
      <c r="Q47" s="480"/>
      <c r="R47" s="480"/>
      <c r="S47" s="480"/>
      <c r="T47" s="480"/>
      <c r="U47" s="480"/>
      <c r="V47" s="480"/>
      <c r="W47" s="480"/>
      <c r="X47" s="480"/>
      <c r="Y47" s="480">
        <f>1361/1800</f>
        <v>0.75609999999999999</v>
      </c>
      <c r="Z47" s="480">
        <f>1347/1800</f>
        <v>0.74829999999999997</v>
      </c>
      <c r="AA47" s="480"/>
      <c r="AB47" s="480"/>
      <c r="AC47" s="393" t="e">
        <f t="shared" si="2"/>
        <v>#DIV/0!</v>
      </c>
      <c r="AD47" s="393" t="e">
        <f t="shared" si="3"/>
        <v>#DIV/0!</v>
      </c>
      <c r="AE47" s="393" t="e">
        <f t="shared" si="4"/>
        <v>#DIV/0!</v>
      </c>
      <c r="AF47" s="393" t="e">
        <f t="shared" si="5"/>
        <v>#DIV/0!</v>
      </c>
      <c r="AG47" s="393" t="e">
        <f t="shared" si="6"/>
        <v>#DIV/0!</v>
      </c>
      <c r="AH47" s="393" t="e">
        <f t="shared" si="7"/>
        <v>#DIV/0!</v>
      </c>
      <c r="AI47" s="393" t="e">
        <f t="shared" si="8"/>
        <v>#DIV/0!</v>
      </c>
      <c r="AJ47" s="393" t="e">
        <f t="shared" si="9"/>
        <v>#DIV/0!</v>
      </c>
      <c r="AK47" s="393" t="e">
        <f t="shared" si="10"/>
        <v>#DIV/0!</v>
      </c>
      <c r="AL47" s="393" t="e">
        <f t="shared" si="11"/>
        <v>#DIV/0!</v>
      </c>
      <c r="AM47" s="393" t="e">
        <f t="shared" si="12"/>
        <v>#DIV/0!</v>
      </c>
      <c r="AN47" s="393" t="e">
        <f t="shared" si="13"/>
        <v>#DIV/0!</v>
      </c>
      <c r="AO47" s="393" t="e">
        <f t="shared" si="14"/>
        <v>#DIV/0!</v>
      </c>
      <c r="AP47" s="393" t="e">
        <f t="shared" si="15"/>
        <v>#DIV/0!</v>
      </c>
      <c r="AQ47" s="393" t="e">
        <f t="shared" si="16"/>
        <v>#DIV/0!</v>
      </c>
      <c r="AR47" s="393" t="e">
        <f t="shared" si="17"/>
        <v>#DIV/0!</v>
      </c>
      <c r="AS47" s="393" t="e">
        <f t="shared" si="18"/>
        <v>#DIV/0!</v>
      </c>
      <c r="AT47" s="393" t="e">
        <f t="shared" si="19"/>
        <v>#DIV/0!</v>
      </c>
      <c r="AU47" s="393" t="e">
        <f t="shared" si="20"/>
        <v>#DIV/0!</v>
      </c>
      <c r="AV47" s="393" t="e">
        <f t="shared" si="21"/>
        <v>#DIV/0!</v>
      </c>
      <c r="AW47" s="393" t="e">
        <f t="shared" si="22"/>
        <v>#DIV/0!</v>
      </c>
      <c r="AX47" s="393" t="e">
        <f t="shared" si="23"/>
        <v>#DIV/0!</v>
      </c>
      <c r="AY47" s="393" t="e">
        <f t="shared" si="24"/>
        <v>#DIV/0!</v>
      </c>
      <c r="AZ47" s="393">
        <f t="shared" si="25"/>
        <v>-1.032</v>
      </c>
      <c r="BA47" s="393">
        <f t="shared" si="26"/>
        <v>-100</v>
      </c>
      <c r="BB47" s="393" t="e">
        <f t="shared" si="27"/>
        <v>#DIV/0!</v>
      </c>
    </row>
    <row r="48" spans="1:54" x14ac:dyDescent="0.25">
      <c r="A48" s="361" t="s">
        <v>4509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>
        <f>1187/1800</f>
        <v>0.65939999999999999</v>
      </c>
      <c r="Z48" s="480">
        <f>1207/1800</f>
        <v>0.67059999999999997</v>
      </c>
      <c r="AA48" s="480"/>
      <c r="AB48" s="480">
        <v>0.66300000000000003</v>
      </c>
      <c r="AC48" s="393" t="e">
        <f t="shared" si="2"/>
        <v>#DIV/0!</v>
      </c>
      <c r="AD48" s="393" t="e">
        <f t="shared" si="3"/>
        <v>#DIV/0!</v>
      </c>
      <c r="AE48" s="393" t="e">
        <f t="shared" si="4"/>
        <v>#DIV/0!</v>
      </c>
      <c r="AF48" s="393" t="e">
        <f t="shared" si="5"/>
        <v>#DIV/0!</v>
      </c>
      <c r="AG48" s="393" t="e">
        <f t="shared" si="6"/>
        <v>#DIV/0!</v>
      </c>
      <c r="AH48" s="393" t="e">
        <f t="shared" si="7"/>
        <v>#DIV/0!</v>
      </c>
      <c r="AI48" s="393" t="e">
        <f t="shared" si="8"/>
        <v>#DIV/0!</v>
      </c>
      <c r="AJ48" s="393" t="e">
        <f t="shared" si="9"/>
        <v>#DIV/0!</v>
      </c>
      <c r="AK48" s="393" t="e">
        <f t="shared" si="10"/>
        <v>#DIV/0!</v>
      </c>
      <c r="AL48" s="393" t="e">
        <f t="shared" si="11"/>
        <v>#DIV/0!</v>
      </c>
      <c r="AM48" s="393" t="e">
        <f t="shared" si="12"/>
        <v>#DIV/0!</v>
      </c>
      <c r="AN48" s="393" t="e">
        <f t="shared" si="13"/>
        <v>#DIV/0!</v>
      </c>
      <c r="AO48" s="393" t="e">
        <f t="shared" si="14"/>
        <v>#DIV/0!</v>
      </c>
      <c r="AP48" s="393" t="e">
        <f t="shared" si="15"/>
        <v>#DIV/0!</v>
      </c>
      <c r="AQ48" s="393" t="e">
        <f t="shared" si="16"/>
        <v>#DIV/0!</v>
      </c>
      <c r="AR48" s="393" t="e">
        <f t="shared" si="17"/>
        <v>#DIV/0!</v>
      </c>
      <c r="AS48" s="393" t="e">
        <f t="shared" si="18"/>
        <v>#DIV/0!</v>
      </c>
      <c r="AT48" s="393" t="e">
        <f t="shared" si="19"/>
        <v>#DIV/0!</v>
      </c>
      <c r="AU48" s="393" t="e">
        <f t="shared" si="20"/>
        <v>#DIV/0!</v>
      </c>
      <c r="AV48" s="393" t="e">
        <f t="shared" si="21"/>
        <v>#DIV/0!</v>
      </c>
      <c r="AW48" s="393" t="e">
        <f t="shared" si="22"/>
        <v>#DIV/0!</v>
      </c>
      <c r="AX48" s="393" t="e">
        <f t="shared" si="23"/>
        <v>#DIV/0!</v>
      </c>
      <c r="AY48" s="393" t="e">
        <f t="shared" si="24"/>
        <v>#DIV/0!</v>
      </c>
      <c r="AZ48" s="393">
        <f t="shared" si="25"/>
        <v>1.6990000000000001</v>
      </c>
      <c r="BA48" s="393">
        <f t="shared" si="26"/>
        <v>-100</v>
      </c>
      <c r="BB48" s="393" t="e">
        <f t="shared" si="27"/>
        <v>#DIV/0!</v>
      </c>
    </row>
    <row r="49" spans="1:54" x14ac:dyDescent="0.25">
      <c r="A49" s="360" t="s">
        <v>4361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80"/>
      <c r="Q49" s="480"/>
      <c r="R49" s="480"/>
      <c r="S49" s="480"/>
      <c r="T49" s="480"/>
      <c r="U49" s="480"/>
      <c r="V49" s="480"/>
      <c r="W49" s="480"/>
      <c r="X49" s="480"/>
      <c r="Y49" s="480">
        <f>1106/1800</f>
        <v>0.61439999999999995</v>
      </c>
      <c r="Z49" s="480">
        <f>1113/1800</f>
        <v>0.61829999999999996</v>
      </c>
      <c r="AA49" s="480"/>
      <c r="AB49" s="480"/>
      <c r="AC49" s="393" t="e">
        <f t="shared" si="2"/>
        <v>#DIV/0!</v>
      </c>
      <c r="AD49" s="393" t="e">
        <f t="shared" si="3"/>
        <v>#DIV/0!</v>
      </c>
      <c r="AE49" s="393" t="e">
        <f t="shared" si="4"/>
        <v>#DIV/0!</v>
      </c>
      <c r="AF49" s="393" t="e">
        <f t="shared" si="5"/>
        <v>#DIV/0!</v>
      </c>
      <c r="AG49" s="393" t="e">
        <f t="shared" si="6"/>
        <v>#DIV/0!</v>
      </c>
      <c r="AH49" s="393" t="e">
        <f t="shared" si="7"/>
        <v>#DIV/0!</v>
      </c>
      <c r="AI49" s="393" t="e">
        <f t="shared" si="8"/>
        <v>#DIV/0!</v>
      </c>
      <c r="AJ49" s="393" t="e">
        <f t="shared" si="9"/>
        <v>#DIV/0!</v>
      </c>
      <c r="AK49" s="393" t="e">
        <f t="shared" si="10"/>
        <v>#DIV/0!</v>
      </c>
      <c r="AL49" s="393" t="e">
        <f t="shared" si="11"/>
        <v>#DIV/0!</v>
      </c>
      <c r="AM49" s="393" t="e">
        <f t="shared" si="12"/>
        <v>#DIV/0!</v>
      </c>
      <c r="AN49" s="393" t="e">
        <f t="shared" si="13"/>
        <v>#DIV/0!</v>
      </c>
      <c r="AO49" s="393" t="e">
        <f t="shared" si="14"/>
        <v>#DIV/0!</v>
      </c>
      <c r="AP49" s="393" t="e">
        <f t="shared" si="15"/>
        <v>#DIV/0!</v>
      </c>
      <c r="AQ49" s="393" t="e">
        <f t="shared" si="16"/>
        <v>#DIV/0!</v>
      </c>
      <c r="AR49" s="393" t="e">
        <f t="shared" si="17"/>
        <v>#DIV/0!</v>
      </c>
      <c r="AS49" s="393" t="e">
        <f t="shared" si="18"/>
        <v>#DIV/0!</v>
      </c>
      <c r="AT49" s="393" t="e">
        <f t="shared" si="19"/>
        <v>#DIV/0!</v>
      </c>
      <c r="AU49" s="393" t="e">
        <f t="shared" si="20"/>
        <v>#DIV/0!</v>
      </c>
      <c r="AV49" s="393" t="e">
        <f t="shared" si="21"/>
        <v>#DIV/0!</v>
      </c>
      <c r="AW49" s="393" t="e">
        <f t="shared" si="22"/>
        <v>#DIV/0!</v>
      </c>
      <c r="AX49" s="393" t="e">
        <f t="shared" si="23"/>
        <v>#DIV/0!</v>
      </c>
      <c r="AY49" s="393" t="e">
        <f t="shared" si="24"/>
        <v>#DIV/0!</v>
      </c>
      <c r="AZ49" s="393">
        <f t="shared" si="25"/>
        <v>0.63500000000000001</v>
      </c>
      <c r="BA49" s="393">
        <f t="shared" si="26"/>
        <v>-100</v>
      </c>
      <c r="BB49" s="393" t="e">
        <f t="shared" si="27"/>
        <v>#DIV/0!</v>
      </c>
    </row>
    <row r="50" spans="1:54" x14ac:dyDescent="0.25">
      <c r="A50" s="361" t="s">
        <v>1083</v>
      </c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1"/>
      <c r="W50" s="481"/>
      <c r="X50" s="481">
        <f>1347/1800</f>
        <v>0.74829999999999997</v>
      </c>
      <c r="Y50" s="481">
        <f>1360/1800</f>
        <v>0.75560000000000005</v>
      </c>
      <c r="Z50" s="481">
        <f>1349/1800</f>
        <v>0.74939999999999996</v>
      </c>
      <c r="AA50" s="481"/>
      <c r="AB50" s="481"/>
      <c r="AC50" s="393" t="e">
        <f t="shared" si="2"/>
        <v>#DIV/0!</v>
      </c>
      <c r="AD50" s="393" t="e">
        <f t="shared" si="3"/>
        <v>#DIV/0!</v>
      </c>
      <c r="AE50" s="393" t="e">
        <f t="shared" si="4"/>
        <v>#DIV/0!</v>
      </c>
      <c r="AF50" s="393" t="e">
        <f t="shared" si="5"/>
        <v>#DIV/0!</v>
      </c>
      <c r="AG50" s="393" t="e">
        <f t="shared" si="6"/>
        <v>#DIV/0!</v>
      </c>
      <c r="AH50" s="393" t="e">
        <f t="shared" si="7"/>
        <v>#DIV/0!</v>
      </c>
      <c r="AI50" s="393" t="e">
        <f t="shared" si="8"/>
        <v>#DIV/0!</v>
      </c>
      <c r="AJ50" s="393" t="e">
        <f t="shared" si="9"/>
        <v>#DIV/0!</v>
      </c>
      <c r="AK50" s="393" t="e">
        <f t="shared" si="10"/>
        <v>#DIV/0!</v>
      </c>
      <c r="AL50" s="393" t="e">
        <f t="shared" si="11"/>
        <v>#DIV/0!</v>
      </c>
      <c r="AM50" s="393" t="e">
        <f t="shared" si="12"/>
        <v>#DIV/0!</v>
      </c>
      <c r="AN50" s="393" t="e">
        <f t="shared" si="13"/>
        <v>#DIV/0!</v>
      </c>
      <c r="AO50" s="393" t="e">
        <f t="shared" si="14"/>
        <v>#DIV/0!</v>
      </c>
      <c r="AP50" s="393" t="e">
        <f t="shared" si="15"/>
        <v>#DIV/0!</v>
      </c>
      <c r="AQ50" s="393" t="e">
        <f t="shared" si="16"/>
        <v>#DIV/0!</v>
      </c>
      <c r="AR50" s="393" t="e">
        <f t="shared" si="17"/>
        <v>#DIV/0!</v>
      </c>
      <c r="AS50" s="393" t="e">
        <f t="shared" si="18"/>
        <v>#DIV/0!</v>
      </c>
      <c r="AT50" s="393" t="e">
        <f t="shared" si="19"/>
        <v>#DIV/0!</v>
      </c>
      <c r="AU50" s="393" t="e">
        <f t="shared" si="20"/>
        <v>#DIV/0!</v>
      </c>
      <c r="AV50" s="393" t="e">
        <f t="shared" si="21"/>
        <v>#DIV/0!</v>
      </c>
      <c r="AW50" s="393" t="e">
        <f t="shared" si="22"/>
        <v>#DIV/0!</v>
      </c>
      <c r="AX50" s="393" t="e">
        <f t="shared" si="23"/>
        <v>#DIV/0!</v>
      </c>
      <c r="AY50" s="393">
        <f t="shared" si="24"/>
        <v>0.97599999999999998</v>
      </c>
      <c r="AZ50" s="393">
        <f t="shared" si="25"/>
        <v>-0.82099999999999995</v>
      </c>
      <c r="BA50" s="393">
        <f t="shared" si="26"/>
        <v>-100</v>
      </c>
      <c r="BB50" s="393" t="e">
        <f t="shared" si="27"/>
        <v>#DIV/0!</v>
      </c>
    </row>
    <row r="51" spans="1:54" x14ac:dyDescent="0.25">
      <c r="A51" s="361" t="s">
        <v>946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480"/>
      <c r="V51" s="481"/>
      <c r="W51" s="481">
        <f>936/1200</f>
        <v>0.78</v>
      </c>
      <c r="X51" s="481">
        <f>1319/1800</f>
        <v>0.73280000000000001</v>
      </c>
      <c r="Y51" s="481">
        <f>1401/1800</f>
        <v>0.77829999999999999</v>
      </c>
      <c r="Z51" s="481">
        <f>1423/1800</f>
        <v>0.79059999999999997</v>
      </c>
      <c r="AA51" s="481"/>
      <c r="AB51" s="481"/>
      <c r="AC51" s="393" t="e">
        <f t="shared" si="2"/>
        <v>#DIV/0!</v>
      </c>
      <c r="AD51" s="393" t="e">
        <f t="shared" si="3"/>
        <v>#DIV/0!</v>
      </c>
      <c r="AE51" s="393" t="e">
        <f t="shared" si="4"/>
        <v>#DIV/0!</v>
      </c>
      <c r="AF51" s="393" t="e">
        <f t="shared" si="5"/>
        <v>#DIV/0!</v>
      </c>
      <c r="AG51" s="393" t="e">
        <f t="shared" si="6"/>
        <v>#DIV/0!</v>
      </c>
      <c r="AH51" s="393" t="e">
        <f t="shared" si="7"/>
        <v>#DIV/0!</v>
      </c>
      <c r="AI51" s="393" t="e">
        <f t="shared" si="8"/>
        <v>#DIV/0!</v>
      </c>
      <c r="AJ51" s="393" t="e">
        <f t="shared" si="9"/>
        <v>#DIV/0!</v>
      </c>
      <c r="AK51" s="393" t="e">
        <f t="shared" si="10"/>
        <v>#DIV/0!</v>
      </c>
      <c r="AL51" s="393" t="e">
        <f t="shared" si="11"/>
        <v>#DIV/0!</v>
      </c>
      <c r="AM51" s="393" t="e">
        <f t="shared" si="12"/>
        <v>#DIV/0!</v>
      </c>
      <c r="AN51" s="393" t="e">
        <f t="shared" si="13"/>
        <v>#DIV/0!</v>
      </c>
      <c r="AO51" s="393" t="e">
        <f t="shared" si="14"/>
        <v>#DIV/0!</v>
      </c>
      <c r="AP51" s="393" t="e">
        <f t="shared" si="15"/>
        <v>#DIV/0!</v>
      </c>
      <c r="AQ51" s="393" t="e">
        <f t="shared" si="16"/>
        <v>#DIV/0!</v>
      </c>
      <c r="AR51" s="393" t="e">
        <f t="shared" si="17"/>
        <v>#DIV/0!</v>
      </c>
      <c r="AS51" s="393" t="e">
        <f t="shared" si="18"/>
        <v>#DIV/0!</v>
      </c>
      <c r="AT51" s="393" t="e">
        <f t="shared" si="19"/>
        <v>#DIV/0!</v>
      </c>
      <c r="AU51" s="393" t="e">
        <f t="shared" si="20"/>
        <v>#DIV/0!</v>
      </c>
      <c r="AV51" s="393" t="e">
        <f t="shared" si="21"/>
        <v>#DIV/0!</v>
      </c>
      <c r="AW51" s="393" t="e">
        <f t="shared" si="22"/>
        <v>#DIV/0!</v>
      </c>
      <c r="AX51" s="393">
        <f t="shared" si="23"/>
        <v>-6.0510000000000002</v>
      </c>
      <c r="AY51" s="393">
        <f t="shared" si="24"/>
        <v>6.2089999999999996</v>
      </c>
      <c r="AZ51" s="393">
        <f t="shared" si="25"/>
        <v>1.58</v>
      </c>
      <c r="BA51" s="393">
        <f t="shared" si="26"/>
        <v>-100</v>
      </c>
      <c r="BB51" s="393" t="e">
        <f t="shared" si="27"/>
        <v>#DIV/0!</v>
      </c>
    </row>
    <row r="52" spans="1:54" x14ac:dyDescent="0.25">
      <c r="A52" s="360" t="s">
        <v>2864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480"/>
      <c r="V52" s="480"/>
      <c r="W52" s="480"/>
      <c r="X52" s="480"/>
      <c r="Y52" s="480"/>
      <c r="Z52" s="480">
        <f>1204/1800</f>
        <v>0.66890000000000005</v>
      </c>
      <c r="AA52" s="480"/>
      <c r="AB52" s="480"/>
      <c r="AC52" s="393" t="e">
        <f t="shared" si="2"/>
        <v>#DIV/0!</v>
      </c>
      <c r="AD52" s="393" t="e">
        <f t="shared" si="3"/>
        <v>#DIV/0!</v>
      </c>
      <c r="AE52" s="393" t="e">
        <f t="shared" si="4"/>
        <v>#DIV/0!</v>
      </c>
      <c r="AF52" s="393" t="e">
        <f t="shared" si="5"/>
        <v>#DIV/0!</v>
      </c>
      <c r="AG52" s="393" t="e">
        <f t="shared" si="6"/>
        <v>#DIV/0!</v>
      </c>
      <c r="AH52" s="393" t="e">
        <f t="shared" si="7"/>
        <v>#DIV/0!</v>
      </c>
      <c r="AI52" s="393" t="e">
        <f t="shared" si="8"/>
        <v>#DIV/0!</v>
      </c>
      <c r="AJ52" s="393" t="e">
        <f t="shared" si="9"/>
        <v>#DIV/0!</v>
      </c>
      <c r="AK52" s="393" t="e">
        <f t="shared" si="10"/>
        <v>#DIV/0!</v>
      </c>
      <c r="AL52" s="393" t="e">
        <f t="shared" si="11"/>
        <v>#DIV/0!</v>
      </c>
      <c r="AM52" s="393" t="e">
        <f t="shared" si="12"/>
        <v>#DIV/0!</v>
      </c>
      <c r="AN52" s="393" t="e">
        <f t="shared" si="13"/>
        <v>#DIV/0!</v>
      </c>
      <c r="AO52" s="393" t="e">
        <f t="shared" si="14"/>
        <v>#DIV/0!</v>
      </c>
      <c r="AP52" s="393" t="e">
        <f t="shared" si="15"/>
        <v>#DIV/0!</v>
      </c>
      <c r="AQ52" s="393" t="e">
        <f t="shared" si="16"/>
        <v>#DIV/0!</v>
      </c>
      <c r="AR52" s="393" t="e">
        <f t="shared" si="17"/>
        <v>#DIV/0!</v>
      </c>
      <c r="AS52" s="393" t="e">
        <f t="shared" si="18"/>
        <v>#DIV/0!</v>
      </c>
      <c r="AT52" s="393" t="e">
        <f t="shared" si="19"/>
        <v>#DIV/0!</v>
      </c>
      <c r="AU52" s="393" t="e">
        <f t="shared" si="20"/>
        <v>#DIV/0!</v>
      </c>
      <c r="AV52" s="393" t="e">
        <f t="shared" si="21"/>
        <v>#DIV/0!</v>
      </c>
      <c r="AW52" s="393" t="e">
        <f t="shared" si="22"/>
        <v>#DIV/0!</v>
      </c>
      <c r="AX52" s="393" t="e">
        <f t="shared" si="23"/>
        <v>#DIV/0!</v>
      </c>
      <c r="AY52" s="393" t="e">
        <f t="shared" si="24"/>
        <v>#DIV/0!</v>
      </c>
      <c r="AZ52" s="393" t="e">
        <f t="shared" si="25"/>
        <v>#DIV/0!</v>
      </c>
      <c r="BA52" s="393">
        <f t="shared" si="26"/>
        <v>-100</v>
      </c>
      <c r="BB52" s="393" t="e">
        <f t="shared" si="27"/>
        <v>#DIV/0!</v>
      </c>
    </row>
    <row r="53" spans="1:54" x14ac:dyDescent="0.25">
      <c r="A53" s="361" t="s">
        <v>1185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480"/>
      <c r="V53" s="481"/>
      <c r="W53" s="481"/>
      <c r="X53" s="481">
        <f>1237/1800</f>
        <v>0.68720000000000003</v>
      </c>
      <c r="Y53" s="481">
        <f>1204/1800</f>
        <v>0.66890000000000005</v>
      </c>
      <c r="Z53" s="481">
        <f>1228/1800</f>
        <v>0.68220000000000003</v>
      </c>
      <c r="AA53" s="481"/>
      <c r="AB53" s="481"/>
      <c r="AC53" s="393" t="e">
        <f t="shared" si="2"/>
        <v>#DIV/0!</v>
      </c>
      <c r="AD53" s="393" t="e">
        <f t="shared" si="3"/>
        <v>#DIV/0!</v>
      </c>
      <c r="AE53" s="393" t="e">
        <f t="shared" si="4"/>
        <v>#DIV/0!</v>
      </c>
      <c r="AF53" s="393" t="e">
        <f t="shared" si="5"/>
        <v>#DIV/0!</v>
      </c>
      <c r="AG53" s="393" t="e">
        <f t="shared" si="6"/>
        <v>#DIV/0!</v>
      </c>
      <c r="AH53" s="393" t="e">
        <f t="shared" si="7"/>
        <v>#DIV/0!</v>
      </c>
      <c r="AI53" s="393" t="e">
        <f t="shared" si="8"/>
        <v>#DIV/0!</v>
      </c>
      <c r="AJ53" s="393" t="e">
        <f t="shared" si="9"/>
        <v>#DIV/0!</v>
      </c>
      <c r="AK53" s="393" t="e">
        <f t="shared" si="10"/>
        <v>#DIV/0!</v>
      </c>
      <c r="AL53" s="393" t="e">
        <f t="shared" si="11"/>
        <v>#DIV/0!</v>
      </c>
      <c r="AM53" s="393" t="e">
        <f t="shared" si="12"/>
        <v>#DIV/0!</v>
      </c>
      <c r="AN53" s="393" t="e">
        <f t="shared" si="13"/>
        <v>#DIV/0!</v>
      </c>
      <c r="AO53" s="393" t="e">
        <f t="shared" si="14"/>
        <v>#DIV/0!</v>
      </c>
      <c r="AP53" s="393" t="e">
        <f t="shared" si="15"/>
        <v>#DIV/0!</v>
      </c>
      <c r="AQ53" s="393" t="e">
        <f t="shared" si="16"/>
        <v>#DIV/0!</v>
      </c>
      <c r="AR53" s="393" t="e">
        <f t="shared" si="17"/>
        <v>#DIV/0!</v>
      </c>
      <c r="AS53" s="393" t="e">
        <f t="shared" si="18"/>
        <v>#DIV/0!</v>
      </c>
      <c r="AT53" s="393" t="e">
        <f t="shared" si="19"/>
        <v>#DIV/0!</v>
      </c>
      <c r="AU53" s="393" t="e">
        <f t="shared" si="20"/>
        <v>#DIV/0!</v>
      </c>
      <c r="AV53" s="393" t="e">
        <f t="shared" si="21"/>
        <v>#DIV/0!</v>
      </c>
      <c r="AW53" s="393" t="e">
        <f t="shared" si="22"/>
        <v>#DIV/0!</v>
      </c>
      <c r="AX53" s="393" t="e">
        <f t="shared" si="23"/>
        <v>#DIV/0!</v>
      </c>
      <c r="AY53" s="393">
        <f t="shared" si="24"/>
        <v>-2.6629999999999998</v>
      </c>
      <c r="AZ53" s="393">
        <f t="shared" si="25"/>
        <v>1.988</v>
      </c>
      <c r="BA53" s="393">
        <f t="shared" si="26"/>
        <v>-100</v>
      </c>
      <c r="BB53" s="393" t="e">
        <f t="shared" si="27"/>
        <v>#DIV/0!</v>
      </c>
    </row>
    <row r="54" spans="1:54" x14ac:dyDescent="0.25">
      <c r="A54" s="361" t="s">
        <v>4352</v>
      </c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0"/>
      <c r="Y54" s="480">
        <f>1121/1800</f>
        <v>0.62280000000000002</v>
      </c>
      <c r="Z54" s="480">
        <f>1155/1800</f>
        <v>0.64170000000000005</v>
      </c>
      <c r="AA54" s="480"/>
      <c r="AB54" s="480"/>
      <c r="AC54" s="393" t="e">
        <f t="shared" si="2"/>
        <v>#DIV/0!</v>
      </c>
      <c r="AD54" s="393" t="e">
        <f t="shared" si="3"/>
        <v>#DIV/0!</v>
      </c>
      <c r="AE54" s="393" t="e">
        <f t="shared" si="4"/>
        <v>#DIV/0!</v>
      </c>
      <c r="AF54" s="393" t="e">
        <f t="shared" si="5"/>
        <v>#DIV/0!</v>
      </c>
      <c r="AG54" s="393" t="e">
        <f t="shared" si="6"/>
        <v>#DIV/0!</v>
      </c>
      <c r="AH54" s="393" t="e">
        <f t="shared" si="7"/>
        <v>#DIV/0!</v>
      </c>
      <c r="AI54" s="393" t="e">
        <f t="shared" si="8"/>
        <v>#DIV/0!</v>
      </c>
      <c r="AJ54" s="393" t="e">
        <f t="shared" si="9"/>
        <v>#DIV/0!</v>
      </c>
      <c r="AK54" s="393" t="e">
        <f t="shared" si="10"/>
        <v>#DIV/0!</v>
      </c>
      <c r="AL54" s="393" t="e">
        <f t="shared" si="11"/>
        <v>#DIV/0!</v>
      </c>
      <c r="AM54" s="393" t="e">
        <f t="shared" si="12"/>
        <v>#DIV/0!</v>
      </c>
      <c r="AN54" s="393" t="e">
        <f t="shared" si="13"/>
        <v>#DIV/0!</v>
      </c>
      <c r="AO54" s="393" t="e">
        <f t="shared" si="14"/>
        <v>#DIV/0!</v>
      </c>
      <c r="AP54" s="393" t="e">
        <f t="shared" si="15"/>
        <v>#DIV/0!</v>
      </c>
      <c r="AQ54" s="393" t="e">
        <f t="shared" si="16"/>
        <v>#DIV/0!</v>
      </c>
      <c r="AR54" s="393" t="e">
        <f t="shared" si="17"/>
        <v>#DIV/0!</v>
      </c>
      <c r="AS54" s="393" t="e">
        <f t="shared" si="18"/>
        <v>#DIV/0!</v>
      </c>
      <c r="AT54" s="393" t="e">
        <f t="shared" si="19"/>
        <v>#DIV/0!</v>
      </c>
      <c r="AU54" s="393" t="e">
        <f t="shared" si="20"/>
        <v>#DIV/0!</v>
      </c>
      <c r="AV54" s="393" t="e">
        <f t="shared" si="21"/>
        <v>#DIV/0!</v>
      </c>
      <c r="AW54" s="393" t="e">
        <f t="shared" si="22"/>
        <v>#DIV/0!</v>
      </c>
      <c r="AX54" s="393" t="e">
        <f t="shared" si="23"/>
        <v>#DIV/0!</v>
      </c>
      <c r="AY54" s="393" t="e">
        <f t="shared" si="24"/>
        <v>#DIV/0!</v>
      </c>
      <c r="AZ54" s="393">
        <f t="shared" si="25"/>
        <v>3.0350000000000001</v>
      </c>
      <c r="BA54" s="393">
        <f t="shared" si="26"/>
        <v>-100</v>
      </c>
      <c r="BB54" s="393" t="e">
        <f t="shared" si="27"/>
        <v>#DIV/0!</v>
      </c>
    </row>
    <row r="55" spans="1:54" x14ac:dyDescent="0.25">
      <c r="A55" s="360" t="s">
        <v>4518</v>
      </c>
      <c r="B55" s="480"/>
      <c r="C55" s="480"/>
      <c r="D55" s="480"/>
      <c r="E55" s="480"/>
      <c r="F55" s="480"/>
      <c r="G55" s="480"/>
      <c r="H55" s="480"/>
      <c r="I55" s="480"/>
      <c r="J55" s="480"/>
      <c r="K55" s="480"/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0"/>
      <c r="Y55" s="480"/>
      <c r="Z55" s="480">
        <f>1172/1800</f>
        <v>0.65110000000000001</v>
      </c>
      <c r="AA55" s="480"/>
      <c r="AB55" s="480"/>
      <c r="AC55" s="393" t="e">
        <f t="shared" si="2"/>
        <v>#DIV/0!</v>
      </c>
      <c r="AD55" s="393" t="e">
        <f t="shared" si="3"/>
        <v>#DIV/0!</v>
      </c>
      <c r="AE55" s="393" t="e">
        <f t="shared" si="4"/>
        <v>#DIV/0!</v>
      </c>
      <c r="AF55" s="393" t="e">
        <f t="shared" si="5"/>
        <v>#DIV/0!</v>
      </c>
      <c r="AG55" s="393" t="e">
        <f t="shared" si="6"/>
        <v>#DIV/0!</v>
      </c>
      <c r="AH55" s="393" t="e">
        <f t="shared" si="7"/>
        <v>#DIV/0!</v>
      </c>
      <c r="AI55" s="393" t="e">
        <f t="shared" si="8"/>
        <v>#DIV/0!</v>
      </c>
      <c r="AJ55" s="393" t="e">
        <f t="shared" si="9"/>
        <v>#DIV/0!</v>
      </c>
      <c r="AK55" s="393" t="e">
        <f t="shared" si="10"/>
        <v>#DIV/0!</v>
      </c>
      <c r="AL55" s="393" t="e">
        <f t="shared" si="11"/>
        <v>#DIV/0!</v>
      </c>
      <c r="AM55" s="393" t="e">
        <f t="shared" si="12"/>
        <v>#DIV/0!</v>
      </c>
      <c r="AN55" s="393" t="e">
        <f t="shared" si="13"/>
        <v>#DIV/0!</v>
      </c>
      <c r="AO55" s="393" t="e">
        <f t="shared" si="14"/>
        <v>#DIV/0!</v>
      </c>
      <c r="AP55" s="393" t="e">
        <f t="shared" si="15"/>
        <v>#DIV/0!</v>
      </c>
      <c r="AQ55" s="393" t="e">
        <f t="shared" si="16"/>
        <v>#DIV/0!</v>
      </c>
      <c r="AR55" s="393" t="e">
        <f t="shared" si="17"/>
        <v>#DIV/0!</v>
      </c>
      <c r="AS55" s="393" t="e">
        <f t="shared" si="18"/>
        <v>#DIV/0!</v>
      </c>
      <c r="AT55" s="393" t="e">
        <f t="shared" si="19"/>
        <v>#DIV/0!</v>
      </c>
      <c r="AU55" s="393" t="e">
        <f t="shared" si="20"/>
        <v>#DIV/0!</v>
      </c>
      <c r="AV55" s="393" t="e">
        <f t="shared" si="21"/>
        <v>#DIV/0!</v>
      </c>
      <c r="AW55" s="393" t="e">
        <f t="shared" si="22"/>
        <v>#DIV/0!</v>
      </c>
      <c r="AX55" s="393" t="e">
        <f t="shared" si="23"/>
        <v>#DIV/0!</v>
      </c>
      <c r="AY55" s="393" t="e">
        <f t="shared" si="24"/>
        <v>#DIV/0!</v>
      </c>
      <c r="AZ55" s="393" t="e">
        <f t="shared" si="25"/>
        <v>#DIV/0!</v>
      </c>
      <c r="BA55" s="393">
        <f t="shared" si="26"/>
        <v>-100</v>
      </c>
      <c r="BB55" s="393" t="e">
        <f t="shared" si="27"/>
        <v>#DIV/0!</v>
      </c>
    </row>
    <row r="56" spans="1:54" x14ac:dyDescent="0.25">
      <c r="A56" s="360" t="s">
        <v>4557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0"/>
      <c r="Y56" s="480"/>
      <c r="Z56" s="480">
        <f>956/1800</f>
        <v>0.53110000000000002</v>
      </c>
      <c r="AA56" s="480"/>
      <c r="AB56" s="480"/>
      <c r="AC56" s="393" t="e">
        <f t="shared" si="2"/>
        <v>#DIV/0!</v>
      </c>
      <c r="AD56" s="393" t="e">
        <f t="shared" si="3"/>
        <v>#DIV/0!</v>
      </c>
      <c r="AE56" s="393" t="e">
        <f t="shared" si="4"/>
        <v>#DIV/0!</v>
      </c>
      <c r="AF56" s="393" t="e">
        <f t="shared" si="5"/>
        <v>#DIV/0!</v>
      </c>
      <c r="AG56" s="393" t="e">
        <f t="shared" si="6"/>
        <v>#DIV/0!</v>
      </c>
      <c r="AH56" s="393" t="e">
        <f t="shared" si="7"/>
        <v>#DIV/0!</v>
      </c>
      <c r="AI56" s="393" t="e">
        <f t="shared" si="8"/>
        <v>#DIV/0!</v>
      </c>
      <c r="AJ56" s="393" t="e">
        <f t="shared" si="9"/>
        <v>#DIV/0!</v>
      </c>
      <c r="AK56" s="393" t="e">
        <f t="shared" si="10"/>
        <v>#DIV/0!</v>
      </c>
      <c r="AL56" s="393" t="e">
        <f t="shared" si="11"/>
        <v>#DIV/0!</v>
      </c>
      <c r="AM56" s="393" t="e">
        <f t="shared" si="12"/>
        <v>#DIV/0!</v>
      </c>
      <c r="AN56" s="393" t="e">
        <f t="shared" si="13"/>
        <v>#DIV/0!</v>
      </c>
      <c r="AO56" s="393" t="e">
        <f t="shared" si="14"/>
        <v>#DIV/0!</v>
      </c>
      <c r="AP56" s="393" t="e">
        <f t="shared" si="15"/>
        <v>#DIV/0!</v>
      </c>
      <c r="AQ56" s="393" t="e">
        <f t="shared" si="16"/>
        <v>#DIV/0!</v>
      </c>
      <c r="AR56" s="393" t="e">
        <f t="shared" si="17"/>
        <v>#DIV/0!</v>
      </c>
      <c r="AS56" s="393" t="e">
        <f t="shared" si="18"/>
        <v>#DIV/0!</v>
      </c>
      <c r="AT56" s="393" t="e">
        <f t="shared" si="19"/>
        <v>#DIV/0!</v>
      </c>
      <c r="AU56" s="393" t="e">
        <f t="shared" si="20"/>
        <v>#DIV/0!</v>
      </c>
      <c r="AV56" s="393" t="e">
        <f t="shared" si="21"/>
        <v>#DIV/0!</v>
      </c>
      <c r="AW56" s="393" t="e">
        <f t="shared" si="22"/>
        <v>#DIV/0!</v>
      </c>
      <c r="AX56" s="393" t="e">
        <f t="shared" si="23"/>
        <v>#DIV/0!</v>
      </c>
      <c r="AY56" s="393" t="e">
        <f t="shared" si="24"/>
        <v>#DIV/0!</v>
      </c>
      <c r="AZ56" s="393" t="e">
        <f t="shared" si="25"/>
        <v>#DIV/0!</v>
      </c>
      <c r="BA56" s="393">
        <f t="shared" si="26"/>
        <v>-100</v>
      </c>
      <c r="BB56" s="393" t="e">
        <f t="shared" si="27"/>
        <v>#DIV/0!</v>
      </c>
    </row>
    <row r="57" spans="1:54" x14ac:dyDescent="0.25">
      <c r="A57" s="360" t="s">
        <v>4375</v>
      </c>
      <c r="B57" s="480"/>
      <c r="C57" s="480"/>
      <c r="D57" s="48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0"/>
      <c r="Y57" s="480">
        <f>1058/1800</f>
        <v>0.58779999999999999</v>
      </c>
      <c r="Z57" s="480">
        <f>1031/1800</f>
        <v>0.57279999999999998</v>
      </c>
      <c r="AA57" s="480"/>
      <c r="AB57" s="480"/>
      <c r="AC57" s="393" t="e">
        <f t="shared" si="2"/>
        <v>#DIV/0!</v>
      </c>
      <c r="AD57" s="393" t="e">
        <f t="shared" si="3"/>
        <v>#DIV/0!</v>
      </c>
      <c r="AE57" s="393" t="e">
        <f t="shared" si="4"/>
        <v>#DIV/0!</v>
      </c>
      <c r="AF57" s="393" t="e">
        <f t="shared" si="5"/>
        <v>#DIV/0!</v>
      </c>
      <c r="AG57" s="393" t="e">
        <f t="shared" si="6"/>
        <v>#DIV/0!</v>
      </c>
      <c r="AH57" s="393" t="e">
        <f t="shared" si="7"/>
        <v>#DIV/0!</v>
      </c>
      <c r="AI57" s="393" t="e">
        <f t="shared" si="8"/>
        <v>#DIV/0!</v>
      </c>
      <c r="AJ57" s="393" t="e">
        <f t="shared" si="9"/>
        <v>#DIV/0!</v>
      </c>
      <c r="AK57" s="393" t="e">
        <f t="shared" si="10"/>
        <v>#DIV/0!</v>
      </c>
      <c r="AL57" s="393" t="e">
        <f t="shared" si="11"/>
        <v>#DIV/0!</v>
      </c>
      <c r="AM57" s="393" t="e">
        <f t="shared" si="12"/>
        <v>#DIV/0!</v>
      </c>
      <c r="AN57" s="393" t="e">
        <f t="shared" si="13"/>
        <v>#DIV/0!</v>
      </c>
      <c r="AO57" s="393" t="e">
        <f t="shared" si="14"/>
        <v>#DIV/0!</v>
      </c>
      <c r="AP57" s="393" t="e">
        <f t="shared" si="15"/>
        <v>#DIV/0!</v>
      </c>
      <c r="AQ57" s="393" t="e">
        <f t="shared" si="16"/>
        <v>#DIV/0!</v>
      </c>
      <c r="AR57" s="393" t="e">
        <f t="shared" si="17"/>
        <v>#DIV/0!</v>
      </c>
      <c r="AS57" s="393" t="e">
        <f t="shared" si="18"/>
        <v>#DIV/0!</v>
      </c>
      <c r="AT57" s="393" t="e">
        <f t="shared" si="19"/>
        <v>#DIV/0!</v>
      </c>
      <c r="AU57" s="393" t="e">
        <f t="shared" si="20"/>
        <v>#DIV/0!</v>
      </c>
      <c r="AV57" s="393" t="e">
        <f t="shared" si="21"/>
        <v>#DIV/0!</v>
      </c>
      <c r="AW57" s="393" t="e">
        <f t="shared" si="22"/>
        <v>#DIV/0!</v>
      </c>
      <c r="AX57" s="393" t="e">
        <f t="shared" si="23"/>
        <v>#DIV/0!</v>
      </c>
      <c r="AY57" s="393" t="e">
        <f t="shared" si="24"/>
        <v>#DIV/0!</v>
      </c>
      <c r="AZ57" s="393">
        <f t="shared" si="25"/>
        <v>-2.552</v>
      </c>
      <c r="BA57" s="393">
        <f t="shared" si="26"/>
        <v>-100</v>
      </c>
      <c r="BB57" s="393" t="e">
        <f t="shared" si="27"/>
        <v>#DIV/0!</v>
      </c>
    </row>
    <row r="58" spans="1:54" x14ac:dyDescent="0.25">
      <c r="A58" s="565" t="s">
        <v>4349</v>
      </c>
      <c r="B58" s="480"/>
      <c r="C58" s="480"/>
      <c r="D58" s="480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0"/>
      <c r="Y58" s="480">
        <f>1126/1800</f>
        <v>0.62560000000000004</v>
      </c>
      <c r="Z58" s="480">
        <f>1144/1800</f>
        <v>0.63560000000000005</v>
      </c>
      <c r="AA58" s="480"/>
      <c r="AB58" s="480"/>
      <c r="AC58" s="393" t="e">
        <f t="shared" si="2"/>
        <v>#DIV/0!</v>
      </c>
      <c r="AD58" s="393" t="e">
        <f t="shared" si="3"/>
        <v>#DIV/0!</v>
      </c>
      <c r="AE58" s="393" t="e">
        <f t="shared" si="4"/>
        <v>#DIV/0!</v>
      </c>
      <c r="AF58" s="393" t="e">
        <f t="shared" si="5"/>
        <v>#DIV/0!</v>
      </c>
      <c r="AG58" s="393" t="e">
        <f t="shared" si="6"/>
        <v>#DIV/0!</v>
      </c>
      <c r="AH58" s="393" t="e">
        <f t="shared" si="7"/>
        <v>#DIV/0!</v>
      </c>
      <c r="AI58" s="393" t="e">
        <f t="shared" si="8"/>
        <v>#DIV/0!</v>
      </c>
      <c r="AJ58" s="393" t="e">
        <f t="shared" si="9"/>
        <v>#DIV/0!</v>
      </c>
      <c r="AK58" s="393" t="e">
        <f t="shared" si="10"/>
        <v>#DIV/0!</v>
      </c>
      <c r="AL58" s="393" t="e">
        <f t="shared" si="11"/>
        <v>#DIV/0!</v>
      </c>
      <c r="AM58" s="393" t="e">
        <f t="shared" si="12"/>
        <v>#DIV/0!</v>
      </c>
      <c r="AN58" s="393" t="e">
        <f t="shared" si="13"/>
        <v>#DIV/0!</v>
      </c>
      <c r="AO58" s="393" t="e">
        <f t="shared" si="14"/>
        <v>#DIV/0!</v>
      </c>
      <c r="AP58" s="393" t="e">
        <f t="shared" si="15"/>
        <v>#DIV/0!</v>
      </c>
      <c r="AQ58" s="393" t="e">
        <f t="shared" si="16"/>
        <v>#DIV/0!</v>
      </c>
      <c r="AR58" s="393" t="e">
        <f t="shared" si="17"/>
        <v>#DIV/0!</v>
      </c>
      <c r="AS58" s="393" t="e">
        <f t="shared" si="18"/>
        <v>#DIV/0!</v>
      </c>
      <c r="AT58" s="393" t="e">
        <f t="shared" si="19"/>
        <v>#DIV/0!</v>
      </c>
      <c r="AU58" s="393" t="e">
        <f t="shared" si="20"/>
        <v>#DIV/0!</v>
      </c>
      <c r="AV58" s="393" t="e">
        <f t="shared" si="21"/>
        <v>#DIV/0!</v>
      </c>
      <c r="AW58" s="393" t="e">
        <f t="shared" si="22"/>
        <v>#DIV/0!</v>
      </c>
      <c r="AX58" s="393" t="e">
        <f t="shared" si="23"/>
        <v>#DIV/0!</v>
      </c>
      <c r="AY58" s="393" t="e">
        <f t="shared" si="24"/>
        <v>#DIV/0!</v>
      </c>
      <c r="AZ58" s="393">
        <f t="shared" si="25"/>
        <v>1.5980000000000001</v>
      </c>
      <c r="BA58" s="393">
        <f t="shared" si="26"/>
        <v>-100</v>
      </c>
      <c r="BB58" s="393" t="e">
        <f t="shared" si="27"/>
        <v>#DIV/0!</v>
      </c>
    </row>
    <row r="59" spans="1:54" x14ac:dyDescent="0.25">
      <c r="A59" s="361" t="s">
        <v>4345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0"/>
      <c r="Y59" s="480">
        <f>1136/1800</f>
        <v>0.63109999999999999</v>
      </c>
      <c r="Z59" s="480">
        <f>1179/1800</f>
        <v>0.65500000000000003</v>
      </c>
      <c r="AA59" s="480"/>
      <c r="AB59" s="480"/>
      <c r="AC59" s="393" t="e">
        <f t="shared" si="2"/>
        <v>#DIV/0!</v>
      </c>
      <c r="AD59" s="393" t="e">
        <f t="shared" si="3"/>
        <v>#DIV/0!</v>
      </c>
      <c r="AE59" s="393" t="e">
        <f t="shared" si="4"/>
        <v>#DIV/0!</v>
      </c>
      <c r="AF59" s="393" t="e">
        <f t="shared" si="5"/>
        <v>#DIV/0!</v>
      </c>
      <c r="AG59" s="393" t="e">
        <f t="shared" si="6"/>
        <v>#DIV/0!</v>
      </c>
      <c r="AH59" s="393" t="e">
        <f t="shared" si="7"/>
        <v>#DIV/0!</v>
      </c>
      <c r="AI59" s="393" t="e">
        <f t="shared" si="8"/>
        <v>#DIV/0!</v>
      </c>
      <c r="AJ59" s="393" t="e">
        <f t="shared" si="9"/>
        <v>#DIV/0!</v>
      </c>
      <c r="AK59" s="393" t="e">
        <f t="shared" si="10"/>
        <v>#DIV/0!</v>
      </c>
      <c r="AL59" s="393" t="e">
        <f t="shared" si="11"/>
        <v>#DIV/0!</v>
      </c>
      <c r="AM59" s="393" t="e">
        <f t="shared" si="12"/>
        <v>#DIV/0!</v>
      </c>
      <c r="AN59" s="393" t="e">
        <f t="shared" si="13"/>
        <v>#DIV/0!</v>
      </c>
      <c r="AO59" s="393" t="e">
        <f t="shared" si="14"/>
        <v>#DIV/0!</v>
      </c>
      <c r="AP59" s="393" t="e">
        <f t="shared" si="15"/>
        <v>#DIV/0!</v>
      </c>
      <c r="AQ59" s="393" t="e">
        <f t="shared" si="16"/>
        <v>#DIV/0!</v>
      </c>
      <c r="AR59" s="393" t="e">
        <f t="shared" si="17"/>
        <v>#DIV/0!</v>
      </c>
      <c r="AS59" s="393" t="e">
        <f t="shared" si="18"/>
        <v>#DIV/0!</v>
      </c>
      <c r="AT59" s="393" t="e">
        <f t="shared" si="19"/>
        <v>#DIV/0!</v>
      </c>
      <c r="AU59" s="393" t="e">
        <f t="shared" si="20"/>
        <v>#DIV/0!</v>
      </c>
      <c r="AV59" s="393" t="e">
        <f t="shared" si="21"/>
        <v>#DIV/0!</v>
      </c>
      <c r="AW59" s="393" t="e">
        <f t="shared" si="22"/>
        <v>#DIV/0!</v>
      </c>
      <c r="AX59" s="393" t="e">
        <f t="shared" si="23"/>
        <v>#DIV/0!</v>
      </c>
      <c r="AY59" s="393" t="e">
        <f t="shared" si="24"/>
        <v>#DIV/0!</v>
      </c>
      <c r="AZ59" s="393">
        <f t="shared" si="25"/>
        <v>3.7869999999999999</v>
      </c>
      <c r="BA59" s="393">
        <f t="shared" si="26"/>
        <v>-100</v>
      </c>
      <c r="BB59" s="393" t="e">
        <f t="shared" si="27"/>
        <v>#DIV/0!</v>
      </c>
    </row>
    <row r="60" spans="1:54" x14ac:dyDescent="0.25">
      <c r="A60" s="567" t="s">
        <v>2241</v>
      </c>
      <c r="B60" s="480"/>
      <c r="C60" s="480"/>
      <c r="D60" s="480"/>
      <c r="E60" s="480"/>
      <c r="F60" s="480">
        <f>686/1200</f>
        <v>0.57169999999999999</v>
      </c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393" t="e">
        <f t="shared" si="2"/>
        <v>#DIV/0!</v>
      </c>
      <c r="AD60" s="393" t="e">
        <f t="shared" si="3"/>
        <v>#DIV/0!</v>
      </c>
      <c r="AE60" s="393" t="e">
        <f t="shared" si="4"/>
        <v>#DIV/0!</v>
      </c>
      <c r="AF60" s="393" t="e">
        <f t="shared" si="5"/>
        <v>#DIV/0!</v>
      </c>
      <c r="AG60" s="393">
        <f t="shared" si="6"/>
        <v>-100</v>
      </c>
      <c r="AH60" s="393" t="e">
        <f t="shared" si="7"/>
        <v>#DIV/0!</v>
      </c>
      <c r="AI60" s="393" t="e">
        <f t="shared" si="8"/>
        <v>#DIV/0!</v>
      </c>
      <c r="AJ60" s="393" t="e">
        <f t="shared" si="9"/>
        <v>#DIV/0!</v>
      </c>
      <c r="AK60" s="393" t="e">
        <f t="shared" si="10"/>
        <v>#DIV/0!</v>
      </c>
      <c r="AL60" s="393" t="e">
        <f t="shared" si="11"/>
        <v>#DIV/0!</v>
      </c>
      <c r="AM60" s="393" t="e">
        <f t="shared" si="12"/>
        <v>#DIV/0!</v>
      </c>
      <c r="AN60" s="393" t="e">
        <f t="shared" si="13"/>
        <v>#DIV/0!</v>
      </c>
      <c r="AO60" s="393" t="e">
        <f t="shared" si="14"/>
        <v>#DIV/0!</v>
      </c>
      <c r="AP60" s="393" t="e">
        <f t="shared" si="15"/>
        <v>#DIV/0!</v>
      </c>
      <c r="AQ60" s="393" t="e">
        <f t="shared" si="16"/>
        <v>#DIV/0!</v>
      </c>
      <c r="AR60" s="393" t="e">
        <f t="shared" si="17"/>
        <v>#DIV/0!</v>
      </c>
      <c r="AS60" s="393" t="e">
        <f t="shared" si="18"/>
        <v>#DIV/0!</v>
      </c>
      <c r="AT60" s="393" t="e">
        <f t="shared" si="19"/>
        <v>#DIV/0!</v>
      </c>
      <c r="AU60" s="393" t="e">
        <f t="shared" si="20"/>
        <v>#DIV/0!</v>
      </c>
      <c r="AV60" s="393" t="e">
        <f t="shared" si="21"/>
        <v>#DIV/0!</v>
      </c>
      <c r="AW60" s="393" t="e">
        <f t="shared" si="22"/>
        <v>#DIV/0!</v>
      </c>
      <c r="AX60" s="393" t="e">
        <f t="shared" si="23"/>
        <v>#DIV/0!</v>
      </c>
      <c r="AY60" s="393" t="e">
        <f t="shared" si="24"/>
        <v>#DIV/0!</v>
      </c>
      <c r="AZ60" s="393" t="e">
        <f t="shared" si="25"/>
        <v>#DIV/0!</v>
      </c>
      <c r="BA60" s="393" t="e">
        <f t="shared" si="26"/>
        <v>#DIV/0!</v>
      </c>
      <c r="BB60" s="393" t="e">
        <f t="shared" si="27"/>
        <v>#DIV/0!</v>
      </c>
    </row>
    <row r="61" spans="1:54" x14ac:dyDescent="0.25">
      <c r="A61" s="361" t="s">
        <v>1201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>
        <f>1197/1800</f>
        <v>0.66500000000000004</v>
      </c>
      <c r="V61" s="480"/>
      <c r="W61" s="480"/>
      <c r="X61" s="480"/>
      <c r="Y61" s="480"/>
      <c r="Z61" s="480"/>
      <c r="AA61" s="480"/>
      <c r="AB61" s="480"/>
      <c r="AC61" s="393" t="e">
        <f t="shared" si="2"/>
        <v>#DIV/0!</v>
      </c>
      <c r="AD61" s="393" t="e">
        <f t="shared" si="3"/>
        <v>#DIV/0!</v>
      </c>
      <c r="AE61" s="393" t="e">
        <f t="shared" si="4"/>
        <v>#DIV/0!</v>
      </c>
      <c r="AF61" s="393" t="e">
        <f t="shared" si="5"/>
        <v>#DIV/0!</v>
      </c>
      <c r="AG61" s="393" t="e">
        <f t="shared" si="6"/>
        <v>#DIV/0!</v>
      </c>
      <c r="AH61" s="393" t="e">
        <f t="shared" si="7"/>
        <v>#DIV/0!</v>
      </c>
      <c r="AI61" s="393" t="e">
        <f t="shared" si="8"/>
        <v>#DIV/0!</v>
      </c>
      <c r="AJ61" s="393" t="e">
        <f t="shared" si="9"/>
        <v>#DIV/0!</v>
      </c>
      <c r="AK61" s="393" t="e">
        <f t="shared" si="10"/>
        <v>#DIV/0!</v>
      </c>
      <c r="AL61" s="393" t="e">
        <f t="shared" si="11"/>
        <v>#DIV/0!</v>
      </c>
      <c r="AM61" s="393" t="e">
        <f t="shared" si="12"/>
        <v>#DIV/0!</v>
      </c>
      <c r="AN61" s="393" t="e">
        <f t="shared" si="13"/>
        <v>#DIV/0!</v>
      </c>
      <c r="AO61" s="393" t="e">
        <f t="shared" si="14"/>
        <v>#DIV/0!</v>
      </c>
      <c r="AP61" s="393" t="e">
        <f t="shared" si="15"/>
        <v>#DIV/0!</v>
      </c>
      <c r="AQ61" s="393" t="e">
        <f t="shared" si="16"/>
        <v>#DIV/0!</v>
      </c>
      <c r="AR61" s="393" t="e">
        <f t="shared" si="17"/>
        <v>#DIV/0!</v>
      </c>
      <c r="AS61" s="393" t="e">
        <f t="shared" si="18"/>
        <v>#DIV/0!</v>
      </c>
      <c r="AT61" s="393" t="e">
        <f t="shared" si="19"/>
        <v>#DIV/0!</v>
      </c>
      <c r="AU61" s="393" t="e">
        <f t="shared" si="20"/>
        <v>#DIV/0!</v>
      </c>
      <c r="AV61" s="393">
        <f t="shared" si="21"/>
        <v>-100</v>
      </c>
      <c r="AW61" s="393" t="e">
        <f t="shared" si="22"/>
        <v>#DIV/0!</v>
      </c>
      <c r="AX61" s="393" t="e">
        <f t="shared" si="23"/>
        <v>#DIV/0!</v>
      </c>
      <c r="AY61" s="393" t="e">
        <f t="shared" si="24"/>
        <v>#DIV/0!</v>
      </c>
      <c r="AZ61" s="393" t="e">
        <f t="shared" si="25"/>
        <v>#DIV/0!</v>
      </c>
      <c r="BA61" s="393" t="e">
        <f t="shared" si="26"/>
        <v>#DIV/0!</v>
      </c>
      <c r="BB61" s="393" t="e">
        <f t="shared" si="27"/>
        <v>#DIV/0!</v>
      </c>
    </row>
    <row r="62" spans="1:54" x14ac:dyDescent="0.25">
      <c r="A62" s="361" t="s">
        <v>1092</v>
      </c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>
        <f>1224/1800</f>
        <v>0.68</v>
      </c>
      <c r="Y62" s="480">
        <f>1283/1800</f>
        <v>0.71279999999999999</v>
      </c>
      <c r="Z62" s="480"/>
      <c r="AA62" s="480"/>
      <c r="AB62" s="480"/>
      <c r="AC62" s="393" t="e">
        <f t="shared" si="2"/>
        <v>#DIV/0!</v>
      </c>
      <c r="AD62" s="393" t="e">
        <f t="shared" si="3"/>
        <v>#DIV/0!</v>
      </c>
      <c r="AE62" s="393" t="e">
        <f t="shared" si="4"/>
        <v>#DIV/0!</v>
      </c>
      <c r="AF62" s="393" t="e">
        <f t="shared" si="5"/>
        <v>#DIV/0!</v>
      </c>
      <c r="AG62" s="393" t="e">
        <f t="shared" si="6"/>
        <v>#DIV/0!</v>
      </c>
      <c r="AH62" s="393" t="e">
        <f t="shared" si="7"/>
        <v>#DIV/0!</v>
      </c>
      <c r="AI62" s="393" t="e">
        <f t="shared" si="8"/>
        <v>#DIV/0!</v>
      </c>
      <c r="AJ62" s="393" t="e">
        <f t="shared" si="9"/>
        <v>#DIV/0!</v>
      </c>
      <c r="AK62" s="393" t="e">
        <f t="shared" si="10"/>
        <v>#DIV/0!</v>
      </c>
      <c r="AL62" s="393" t="e">
        <f t="shared" si="11"/>
        <v>#DIV/0!</v>
      </c>
      <c r="AM62" s="393" t="e">
        <f t="shared" si="12"/>
        <v>#DIV/0!</v>
      </c>
      <c r="AN62" s="393" t="e">
        <f t="shared" si="13"/>
        <v>#DIV/0!</v>
      </c>
      <c r="AO62" s="393" t="e">
        <f t="shared" si="14"/>
        <v>#DIV/0!</v>
      </c>
      <c r="AP62" s="393" t="e">
        <f t="shared" si="15"/>
        <v>#DIV/0!</v>
      </c>
      <c r="AQ62" s="393" t="e">
        <f t="shared" si="16"/>
        <v>#DIV/0!</v>
      </c>
      <c r="AR62" s="393" t="e">
        <f t="shared" si="17"/>
        <v>#DIV/0!</v>
      </c>
      <c r="AS62" s="393" t="e">
        <f t="shared" si="18"/>
        <v>#DIV/0!</v>
      </c>
      <c r="AT62" s="393" t="e">
        <f t="shared" si="19"/>
        <v>#DIV/0!</v>
      </c>
      <c r="AU62" s="393" t="e">
        <f t="shared" si="20"/>
        <v>#DIV/0!</v>
      </c>
      <c r="AV62" s="393" t="e">
        <f t="shared" si="21"/>
        <v>#DIV/0!</v>
      </c>
      <c r="AW62" s="393" t="e">
        <f t="shared" si="22"/>
        <v>#DIV/0!</v>
      </c>
      <c r="AX62" s="393" t="e">
        <f t="shared" si="23"/>
        <v>#DIV/0!</v>
      </c>
      <c r="AY62" s="393">
        <f t="shared" si="24"/>
        <v>4.8239999999999998</v>
      </c>
      <c r="AZ62" s="393">
        <f t="shared" si="25"/>
        <v>-100</v>
      </c>
      <c r="BA62" s="393" t="e">
        <f t="shared" si="26"/>
        <v>#DIV/0!</v>
      </c>
      <c r="BB62" s="393" t="e">
        <f t="shared" si="27"/>
        <v>#DIV/0!</v>
      </c>
    </row>
    <row r="63" spans="1:54" x14ac:dyDescent="0.25">
      <c r="A63" s="361" t="s">
        <v>349</v>
      </c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>
        <f>1072/1800</f>
        <v>0.59560000000000002</v>
      </c>
      <c r="R63" s="480">
        <f>1107/1800</f>
        <v>0.61499999999999999</v>
      </c>
      <c r="S63" s="480">
        <f>1214/1800</f>
        <v>0.6744</v>
      </c>
      <c r="T63" s="480">
        <f>793/1200</f>
        <v>0.66080000000000005</v>
      </c>
      <c r="U63" s="480"/>
      <c r="V63" s="480"/>
      <c r="W63" s="480"/>
      <c r="X63" s="480"/>
      <c r="Y63" s="480"/>
      <c r="Z63" s="480"/>
      <c r="AA63" s="480"/>
      <c r="AB63" s="480"/>
      <c r="AC63" s="393" t="e">
        <f t="shared" si="2"/>
        <v>#DIV/0!</v>
      </c>
      <c r="AD63" s="393" t="e">
        <f t="shared" si="3"/>
        <v>#DIV/0!</v>
      </c>
      <c r="AE63" s="393" t="e">
        <f t="shared" si="4"/>
        <v>#DIV/0!</v>
      </c>
      <c r="AF63" s="393" t="e">
        <f t="shared" si="5"/>
        <v>#DIV/0!</v>
      </c>
      <c r="AG63" s="393" t="e">
        <f t="shared" si="6"/>
        <v>#DIV/0!</v>
      </c>
      <c r="AH63" s="393" t="e">
        <f t="shared" si="7"/>
        <v>#DIV/0!</v>
      </c>
      <c r="AI63" s="393" t="e">
        <f t="shared" si="8"/>
        <v>#DIV/0!</v>
      </c>
      <c r="AJ63" s="393" t="e">
        <f t="shared" si="9"/>
        <v>#DIV/0!</v>
      </c>
      <c r="AK63" s="393" t="e">
        <f t="shared" si="10"/>
        <v>#DIV/0!</v>
      </c>
      <c r="AL63" s="393" t="e">
        <f t="shared" si="11"/>
        <v>#DIV/0!</v>
      </c>
      <c r="AM63" s="393" t="e">
        <f t="shared" si="12"/>
        <v>#DIV/0!</v>
      </c>
      <c r="AN63" s="393" t="e">
        <f t="shared" si="13"/>
        <v>#DIV/0!</v>
      </c>
      <c r="AO63" s="393" t="e">
        <f t="shared" si="14"/>
        <v>#DIV/0!</v>
      </c>
      <c r="AP63" s="393" t="e">
        <f t="shared" si="15"/>
        <v>#DIV/0!</v>
      </c>
      <c r="AQ63" s="393" t="e">
        <f t="shared" si="16"/>
        <v>#DIV/0!</v>
      </c>
      <c r="AR63" s="393">
        <f t="shared" si="17"/>
        <v>3.2570000000000001</v>
      </c>
      <c r="AS63" s="393">
        <f t="shared" si="18"/>
        <v>9.6590000000000007</v>
      </c>
      <c r="AT63" s="393">
        <f t="shared" si="19"/>
        <v>-2.0169999999999999</v>
      </c>
      <c r="AU63" s="393">
        <f t="shared" si="20"/>
        <v>-100</v>
      </c>
      <c r="AV63" s="393" t="e">
        <f t="shared" si="21"/>
        <v>#DIV/0!</v>
      </c>
      <c r="AW63" s="393" t="e">
        <f t="shared" si="22"/>
        <v>#DIV/0!</v>
      </c>
      <c r="AX63" s="393" t="e">
        <f t="shared" si="23"/>
        <v>#DIV/0!</v>
      </c>
      <c r="AY63" s="393" t="e">
        <f t="shared" si="24"/>
        <v>#DIV/0!</v>
      </c>
      <c r="AZ63" s="393" t="e">
        <f t="shared" si="25"/>
        <v>#DIV/0!</v>
      </c>
      <c r="BA63" s="393" t="e">
        <f t="shared" si="26"/>
        <v>#DIV/0!</v>
      </c>
      <c r="BB63" s="393" t="e">
        <f t="shared" si="27"/>
        <v>#DIV/0!</v>
      </c>
    </row>
    <row r="64" spans="1:54" x14ac:dyDescent="0.25">
      <c r="A64" s="361" t="s">
        <v>1598</v>
      </c>
      <c r="B64" s="480"/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>
        <f>976/1800</f>
        <v>0.54220000000000002</v>
      </c>
      <c r="S64" s="480"/>
      <c r="T64" s="480"/>
      <c r="U64" s="480"/>
      <c r="V64" s="480"/>
      <c r="W64" s="480"/>
      <c r="X64" s="480"/>
      <c r="Y64" s="480"/>
      <c r="Z64" s="480"/>
      <c r="AA64" s="480"/>
      <c r="AB64" s="480"/>
      <c r="AC64" s="393" t="e">
        <f t="shared" si="2"/>
        <v>#DIV/0!</v>
      </c>
      <c r="AD64" s="393" t="e">
        <f t="shared" si="3"/>
        <v>#DIV/0!</v>
      </c>
      <c r="AE64" s="393" t="e">
        <f t="shared" si="4"/>
        <v>#DIV/0!</v>
      </c>
      <c r="AF64" s="393" t="e">
        <f t="shared" si="5"/>
        <v>#DIV/0!</v>
      </c>
      <c r="AG64" s="393" t="e">
        <f t="shared" si="6"/>
        <v>#DIV/0!</v>
      </c>
      <c r="AH64" s="393" t="e">
        <f t="shared" si="7"/>
        <v>#DIV/0!</v>
      </c>
      <c r="AI64" s="393" t="e">
        <f t="shared" si="8"/>
        <v>#DIV/0!</v>
      </c>
      <c r="AJ64" s="393" t="e">
        <f t="shared" si="9"/>
        <v>#DIV/0!</v>
      </c>
      <c r="AK64" s="393" t="e">
        <f t="shared" si="10"/>
        <v>#DIV/0!</v>
      </c>
      <c r="AL64" s="393" t="e">
        <f t="shared" si="11"/>
        <v>#DIV/0!</v>
      </c>
      <c r="AM64" s="393" t="e">
        <f t="shared" si="12"/>
        <v>#DIV/0!</v>
      </c>
      <c r="AN64" s="393" t="e">
        <f t="shared" si="13"/>
        <v>#DIV/0!</v>
      </c>
      <c r="AO64" s="393" t="e">
        <f t="shared" si="14"/>
        <v>#DIV/0!</v>
      </c>
      <c r="AP64" s="393" t="e">
        <f t="shared" si="15"/>
        <v>#DIV/0!</v>
      </c>
      <c r="AQ64" s="393" t="e">
        <f t="shared" si="16"/>
        <v>#DIV/0!</v>
      </c>
      <c r="AR64" s="393" t="e">
        <f t="shared" si="17"/>
        <v>#DIV/0!</v>
      </c>
      <c r="AS64" s="393">
        <f t="shared" si="18"/>
        <v>-100</v>
      </c>
      <c r="AT64" s="393" t="e">
        <f t="shared" si="19"/>
        <v>#DIV/0!</v>
      </c>
      <c r="AU64" s="393" t="e">
        <f t="shared" si="20"/>
        <v>#DIV/0!</v>
      </c>
      <c r="AV64" s="393" t="e">
        <f t="shared" si="21"/>
        <v>#DIV/0!</v>
      </c>
      <c r="AW64" s="393" t="e">
        <f t="shared" si="22"/>
        <v>#DIV/0!</v>
      </c>
      <c r="AX64" s="393" t="e">
        <f t="shared" si="23"/>
        <v>#DIV/0!</v>
      </c>
      <c r="AY64" s="393" t="e">
        <f t="shared" si="24"/>
        <v>#DIV/0!</v>
      </c>
      <c r="AZ64" s="393" t="e">
        <f t="shared" si="25"/>
        <v>#DIV/0!</v>
      </c>
      <c r="BA64" s="393" t="e">
        <f t="shared" si="26"/>
        <v>#DIV/0!</v>
      </c>
      <c r="BB64" s="393" t="e">
        <f t="shared" si="27"/>
        <v>#DIV/0!</v>
      </c>
    </row>
    <row r="65" spans="1:54" x14ac:dyDescent="0.25">
      <c r="A65" s="362" t="s">
        <v>3099</v>
      </c>
      <c r="B65" s="480">
        <f>170/1800</f>
        <v>9.4399999999999998E-2</v>
      </c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393">
        <f t="shared" si="2"/>
        <v>-100</v>
      </c>
      <c r="AD65" s="393" t="e">
        <f t="shared" si="3"/>
        <v>#DIV/0!</v>
      </c>
      <c r="AE65" s="393" t="e">
        <f t="shared" si="4"/>
        <v>#DIV/0!</v>
      </c>
      <c r="AF65" s="393" t="e">
        <f t="shared" si="5"/>
        <v>#DIV/0!</v>
      </c>
      <c r="AG65" s="393" t="e">
        <f t="shared" si="6"/>
        <v>#DIV/0!</v>
      </c>
      <c r="AH65" s="393" t="e">
        <f t="shared" si="7"/>
        <v>#DIV/0!</v>
      </c>
      <c r="AI65" s="393" t="e">
        <f t="shared" si="8"/>
        <v>#DIV/0!</v>
      </c>
      <c r="AJ65" s="393" t="e">
        <f t="shared" si="9"/>
        <v>#DIV/0!</v>
      </c>
      <c r="AK65" s="393" t="e">
        <f t="shared" si="10"/>
        <v>#DIV/0!</v>
      </c>
      <c r="AL65" s="393" t="e">
        <f t="shared" si="11"/>
        <v>#DIV/0!</v>
      </c>
      <c r="AM65" s="393" t="e">
        <f t="shared" si="12"/>
        <v>#DIV/0!</v>
      </c>
      <c r="AN65" s="393" t="e">
        <f t="shared" si="13"/>
        <v>#DIV/0!</v>
      </c>
      <c r="AO65" s="393" t="e">
        <f t="shared" si="14"/>
        <v>#DIV/0!</v>
      </c>
      <c r="AP65" s="393" t="e">
        <f t="shared" si="15"/>
        <v>#DIV/0!</v>
      </c>
      <c r="AQ65" s="393" t="e">
        <f t="shared" si="16"/>
        <v>#DIV/0!</v>
      </c>
      <c r="AR65" s="393" t="e">
        <f t="shared" si="17"/>
        <v>#DIV/0!</v>
      </c>
      <c r="AS65" s="393" t="e">
        <f t="shared" si="18"/>
        <v>#DIV/0!</v>
      </c>
      <c r="AT65" s="393" t="e">
        <f t="shared" si="19"/>
        <v>#DIV/0!</v>
      </c>
      <c r="AU65" s="393" t="e">
        <f t="shared" si="20"/>
        <v>#DIV/0!</v>
      </c>
      <c r="AV65" s="393" t="e">
        <f t="shared" si="21"/>
        <v>#DIV/0!</v>
      </c>
      <c r="AW65" s="393" t="e">
        <f t="shared" si="22"/>
        <v>#DIV/0!</v>
      </c>
      <c r="AX65" s="393" t="e">
        <f t="shared" si="23"/>
        <v>#DIV/0!</v>
      </c>
      <c r="AY65" s="393" t="e">
        <f t="shared" si="24"/>
        <v>#DIV/0!</v>
      </c>
      <c r="AZ65" s="393" t="e">
        <f t="shared" si="25"/>
        <v>#DIV/0!</v>
      </c>
      <c r="BA65" s="393" t="e">
        <f t="shared" si="26"/>
        <v>#DIV/0!</v>
      </c>
      <c r="BB65" s="393" t="e">
        <f t="shared" si="27"/>
        <v>#DIV/0!</v>
      </c>
    </row>
    <row r="66" spans="1:54" x14ac:dyDescent="0.25">
      <c r="A66" s="361" t="s">
        <v>621</v>
      </c>
      <c r="B66" s="480"/>
      <c r="C66" s="480"/>
      <c r="D66" s="480"/>
      <c r="E66" s="480"/>
      <c r="F66" s="480"/>
      <c r="G66" s="480">
        <f>1243/2400</f>
        <v>0.51790000000000003</v>
      </c>
      <c r="H66" s="480">
        <f>618/1200</f>
        <v>0.51500000000000001</v>
      </c>
      <c r="I66" s="480"/>
      <c r="J66" s="480"/>
      <c r="K66" s="480">
        <f>667/1200</f>
        <v>0.55579999999999996</v>
      </c>
      <c r="L66" s="480">
        <f>742/1200</f>
        <v>0.61829999999999996</v>
      </c>
      <c r="M66" s="480">
        <f>676/1200</f>
        <v>0.56330000000000002</v>
      </c>
      <c r="N66" s="480">
        <f>694/1200</f>
        <v>0.57830000000000004</v>
      </c>
      <c r="O66" s="480"/>
      <c r="P66" s="480"/>
      <c r="Q66" s="480"/>
      <c r="R66" s="480"/>
      <c r="S66" s="480">
        <f>1038/1800</f>
        <v>0.57669999999999999</v>
      </c>
      <c r="T66" s="480"/>
      <c r="U66" s="480"/>
      <c r="V66" s="480"/>
      <c r="W66" s="480"/>
      <c r="X66" s="480"/>
      <c r="Y66" s="480"/>
      <c r="Z66" s="480"/>
      <c r="AA66" s="480"/>
      <c r="AB66" s="480"/>
      <c r="AC66" s="393" t="e">
        <f t="shared" si="2"/>
        <v>#DIV/0!</v>
      </c>
      <c r="AD66" s="393" t="e">
        <f t="shared" si="3"/>
        <v>#DIV/0!</v>
      </c>
      <c r="AE66" s="393" t="e">
        <f t="shared" si="4"/>
        <v>#DIV/0!</v>
      </c>
      <c r="AF66" s="393" t="e">
        <f t="shared" si="5"/>
        <v>#DIV/0!</v>
      </c>
      <c r="AG66" s="393" t="e">
        <f t="shared" si="6"/>
        <v>#DIV/0!</v>
      </c>
      <c r="AH66" s="393">
        <f t="shared" si="7"/>
        <v>-0.56000000000000005</v>
      </c>
      <c r="AI66" s="393">
        <f t="shared" si="8"/>
        <v>-100</v>
      </c>
      <c r="AJ66" s="393" t="e">
        <f t="shared" si="9"/>
        <v>#DIV/0!</v>
      </c>
      <c r="AK66" s="393" t="e">
        <f t="shared" si="10"/>
        <v>#DIV/0!</v>
      </c>
      <c r="AL66" s="393">
        <f t="shared" si="11"/>
        <v>11.244999999999999</v>
      </c>
      <c r="AM66" s="393">
        <f t="shared" si="12"/>
        <v>-8.8949999999999996</v>
      </c>
      <c r="AN66" s="393">
        <f t="shared" si="13"/>
        <v>2.6629999999999998</v>
      </c>
      <c r="AO66" s="393">
        <f t="shared" si="14"/>
        <v>-100</v>
      </c>
      <c r="AP66" s="393" t="e">
        <f t="shared" si="15"/>
        <v>#DIV/0!</v>
      </c>
      <c r="AQ66" s="393" t="e">
        <f t="shared" si="16"/>
        <v>#DIV/0!</v>
      </c>
      <c r="AR66" s="393" t="e">
        <f t="shared" si="17"/>
        <v>#DIV/0!</v>
      </c>
      <c r="AS66" s="393" t="e">
        <f t="shared" si="18"/>
        <v>#DIV/0!</v>
      </c>
      <c r="AT66" s="393">
        <f t="shared" si="19"/>
        <v>-100</v>
      </c>
      <c r="AU66" s="393" t="e">
        <f t="shared" si="20"/>
        <v>#DIV/0!</v>
      </c>
      <c r="AV66" s="393" t="e">
        <f t="shared" si="21"/>
        <v>#DIV/0!</v>
      </c>
      <c r="AW66" s="393" t="e">
        <f t="shared" si="22"/>
        <v>#DIV/0!</v>
      </c>
      <c r="AX66" s="393" t="e">
        <f t="shared" si="23"/>
        <v>#DIV/0!</v>
      </c>
      <c r="AY66" s="393" t="e">
        <f t="shared" si="24"/>
        <v>#DIV/0!</v>
      </c>
      <c r="AZ66" s="393" t="e">
        <f t="shared" si="25"/>
        <v>#DIV/0!</v>
      </c>
      <c r="BA66" s="393" t="e">
        <f t="shared" si="26"/>
        <v>#DIV/0!</v>
      </c>
      <c r="BB66" s="393" t="e">
        <f t="shared" si="27"/>
        <v>#DIV/0!</v>
      </c>
    </row>
    <row r="67" spans="1:54" x14ac:dyDescent="0.25">
      <c r="A67" s="361" t="s">
        <v>1535</v>
      </c>
      <c r="B67" s="480"/>
      <c r="C67" s="480"/>
      <c r="D67" s="480"/>
      <c r="E67" s="480"/>
      <c r="F67" s="480"/>
      <c r="G67" s="480"/>
      <c r="H67" s="480"/>
      <c r="I67" s="480"/>
      <c r="J67" s="480"/>
      <c r="K67" s="480"/>
      <c r="L67" s="480"/>
      <c r="M67" s="480"/>
      <c r="N67" s="480"/>
      <c r="O67" s="480"/>
      <c r="P67" s="480"/>
      <c r="Q67" s="480"/>
      <c r="R67" s="480"/>
      <c r="S67" s="480"/>
      <c r="T67" s="480"/>
      <c r="U67" s="480">
        <f>932/1800</f>
        <v>0.51780000000000004</v>
      </c>
      <c r="V67" s="480"/>
      <c r="W67" s="480"/>
      <c r="X67" s="480"/>
      <c r="Y67" s="480"/>
      <c r="Z67" s="480"/>
      <c r="AA67" s="480"/>
      <c r="AB67" s="480"/>
      <c r="AC67" s="393" t="e">
        <f t="shared" si="2"/>
        <v>#DIV/0!</v>
      </c>
      <c r="AD67" s="393" t="e">
        <f t="shared" si="3"/>
        <v>#DIV/0!</v>
      </c>
      <c r="AE67" s="393" t="e">
        <f t="shared" si="4"/>
        <v>#DIV/0!</v>
      </c>
      <c r="AF67" s="393" t="e">
        <f t="shared" si="5"/>
        <v>#DIV/0!</v>
      </c>
      <c r="AG67" s="393" t="e">
        <f t="shared" si="6"/>
        <v>#DIV/0!</v>
      </c>
      <c r="AH67" s="393" t="e">
        <f t="shared" si="7"/>
        <v>#DIV/0!</v>
      </c>
      <c r="AI67" s="393" t="e">
        <f t="shared" si="8"/>
        <v>#DIV/0!</v>
      </c>
      <c r="AJ67" s="393" t="e">
        <f t="shared" si="9"/>
        <v>#DIV/0!</v>
      </c>
      <c r="AK67" s="393" t="e">
        <f t="shared" si="10"/>
        <v>#DIV/0!</v>
      </c>
      <c r="AL67" s="393" t="e">
        <f t="shared" si="11"/>
        <v>#DIV/0!</v>
      </c>
      <c r="AM67" s="393" t="e">
        <f t="shared" si="12"/>
        <v>#DIV/0!</v>
      </c>
      <c r="AN67" s="393" t="e">
        <f t="shared" si="13"/>
        <v>#DIV/0!</v>
      </c>
      <c r="AO67" s="393" t="e">
        <f t="shared" si="14"/>
        <v>#DIV/0!</v>
      </c>
      <c r="AP67" s="393" t="e">
        <f t="shared" si="15"/>
        <v>#DIV/0!</v>
      </c>
      <c r="AQ67" s="393" t="e">
        <f t="shared" si="16"/>
        <v>#DIV/0!</v>
      </c>
      <c r="AR67" s="393" t="e">
        <f t="shared" si="17"/>
        <v>#DIV/0!</v>
      </c>
      <c r="AS67" s="393" t="e">
        <f t="shared" si="18"/>
        <v>#DIV/0!</v>
      </c>
      <c r="AT67" s="393" t="e">
        <f t="shared" si="19"/>
        <v>#DIV/0!</v>
      </c>
      <c r="AU67" s="393" t="e">
        <f t="shared" si="20"/>
        <v>#DIV/0!</v>
      </c>
      <c r="AV67" s="393">
        <f t="shared" si="21"/>
        <v>-100</v>
      </c>
      <c r="AW67" s="393" t="e">
        <f t="shared" si="22"/>
        <v>#DIV/0!</v>
      </c>
      <c r="AX67" s="393" t="e">
        <f t="shared" si="23"/>
        <v>#DIV/0!</v>
      </c>
      <c r="AY67" s="393" t="e">
        <f t="shared" si="24"/>
        <v>#DIV/0!</v>
      </c>
      <c r="AZ67" s="393" t="e">
        <f t="shared" si="25"/>
        <v>#DIV/0!</v>
      </c>
      <c r="BA67" s="393" t="e">
        <f t="shared" si="26"/>
        <v>#DIV/0!</v>
      </c>
      <c r="BB67" s="393" t="e">
        <f t="shared" si="27"/>
        <v>#DIV/0!</v>
      </c>
    </row>
    <row r="68" spans="1:54" x14ac:dyDescent="0.25">
      <c r="A68" s="361" t="s">
        <v>1557</v>
      </c>
      <c r="B68" s="480"/>
      <c r="C68" s="480"/>
      <c r="D68" s="480"/>
      <c r="E68" s="480"/>
      <c r="F68" s="480"/>
      <c r="G68" s="480"/>
      <c r="H68" s="480"/>
      <c r="I68" s="480"/>
      <c r="J68" s="480"/>
      <c r="K68" s="480"/>
      <c r="L68" s="480"/>
      <c r="M68" s="480"/>
      <c r="N68" s="480"/>
      <c r="O68" s="480">
        <f>642/1200</f>
        <v>0.53500000000000003</v>
      </c>
      <c r="P68" s="480">
        <f>1037/1800</f>
        <v>0.57609999999999995</v>
      </c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  <c r="AB68" s="480"/>
      <c r="AC68" s="393" t="e">
        <f t="shared" si="2"/>
        <v>#DIV/0!</v>
      </c>
      <c r="AD68" s="393" t="e">
        <f t="shared" si="3"/>
        <v>#DIV/0!</v>
      </c>
      <c r="AE68" s="393" t="e">
        <f t="shared" si="4"/>
        <v>#DIV/0!</v>
      </c>
      <c r="AF68" s="393" t="e">
        <f t="shared" si="5"/>
        <v>#DIV/0!</v>
      </c>
      <c r="AG68" s="393" t="e">
        <f t="shared" si="6"/>
        <v>#DIV/0!</v>
      </c>
      <c r="AH68" s="393" t="e">
        <f t="shared" si="7"/>
        <v>#DIV/0!</v>
      </c>
      <c r="AI68" s="393" t="e">
        <f t="shared" si="8"/>
        <v>#DIV/0!</v>
      </c>
      <c r="AJ68" s="393" t="e">
        <f t="shared" si="9"/>
        <v>#DIV/0!</v>
      </c>
      <c r="AK68" s="393" t="e">
        <f t="shared" si="10"/>
        <v>#DIV/0!</v>
      </c>
      <c r="AL68" s="393" t="e">
        <f t="shared" si="11"/>
        <v>#DIV/0!</v>
      </c>
      <c r="AM68" s="393" t="e">
        <f t="shared" si="12"/>
        <v>#DIV/0!</v>
      </c>
      <c r="AN68" s="393" t="e">
        <f t="shared" si="13"/>
        <v>#DIV/0!</v>
      </c>
      <c r="AO68" s="393" t="e">
        <f t="shared" si="14"/>
        <v>#DIV/0!</v>
      </c>
      <c r="AP68" s="393">
        <f t="shared" si="15"/>
        <v>7.6820000000000004</v>
      </c>
      <c r="AQ68" s="393">
        <f t="shared" si="16"/>
        <v>-100</v>
      </c>
      <c r="AR68" s="393" t="e">
        <f t="shared" si="17"/>
        <v>#DIV/0!</v>
      </c>
      <c r="AS68" s="393" t="e">
        <f t="shared" si="18"/>
        <v>#DIV/0!</v>
      </c>
      <c r="AT68" s="393" t="e">
        <f t="shared" si="19"/>
        <v>#DIV/0!</v>
      </c>
      <c r="AU68" s="393" t="e">
        <f t="shared" si="20"/>
        <v>#DIV/0!</v>
      </c>
      <c r="AV68" s="393" t="e">
        <f t="shared" si="21"/>
        <v>#DIV/0!</v>
      </c>
      <c r="AW68" s="393" t="e">
        <f t="shared" si="22"/>
        <v>#DIV/0!</v>
      </c>
      <c r="AX68" s="393" t="e">
        <f t="shared" si="23"/>
        <v>#DIV/0!</v>
      </c>
      <c r="AY68" s="393" t="e">
        <f t="shared" si="24"/>
        <v>#DIV/0!</v>
      </c>
      <c r="AZ68" s="393" t="e">
        <f t="shared" si="25"/>
        <v>#DIV/0!</v>
      </c>
      <c r="BA68" s="393" t="e">
        <f t="shared" si="26"/>
        <v>#DIV/0!</v>
      </c>
      <c r="BB68" s="393" t="e">
        <f t="shared" si="27"/>
        <v>#DIV/0!</v>
      </c>
    </row>
    <row r="69" spans="1:54" x14ac:dyDescent="0.25">
      <c r="A69" s="361" t="s">
        <v>1591</v>
      </c>
      <c r="B69" s="480"/>
      <c r="C69" s="480"/>
      <c r="D69" s="480"/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>
        <f>1032/1800</f>
        <v>0.57330000000000003</v>
      </c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393" t="e">
        <f t="shared" ref="AC69:AC132" si="28">(+C69-B69)/B69*100</f>
        <v>#DIV/0!</v>
      </c>
      <c r="AD69" s="393" t="e">
        <f t="shared" ref="AD69:AD132" si="29">(+D69-C69)/C69*100</f>
        <v>#DIV/0!</v>
      </c>
      <c r="AE69" s="393" t="e">
        <f t="shared" ref="AE69:AE132" si="30">(+E69-D69)/D69*100</f>
        <v>#DIV/0!</v>
      </c>
      <c r="AF69" s="393" t="e">
        <f t="shared" ref="AF69:AF132" si="31">(+F69-E69)/E69*100</f>
        <v>#DIV/0!</v>
      </c>
      <c r="AG69" s="393" t="e">
        <f t="shared" ref="AG69:AG132" si="32">(+G69-F69)/F69*100</f>
        <v>#DIV/0!</v>
      </c>
      <c r="AH69" s="393" t="e">
        <f t="shared" ref="AH69:AH132" si="33">(+H69-G69)/G69*100</f>
        <v>#DIV/0!</v>
      </c>
      <c r="AI69" s="393" t="e">
        <f t="shared" ref="AI69:AI132" si="34">(+I69-H69)/H69*100</f>
        <v>#DIV/0!</v>
      </c>
      <c r="AJ69" s="393" t="e">
        <f t="shared" ref="AJ69:AJ132" si="35">(+J69-I69)/I69*100</f>
        <v>#DIV/0!</v>
      </c>
      <c r="AK69" s="393" t="e">
        <f t="shared" ref="AK69:AK132" si="36">(+K69-J69)/J69*100</f>
        <v>#DIV/0!</v>
      </c>
      <c r="AL69" s="393" t="e">
        <f t="shared" ref="AL69:AL132" si="37">(+L69-K69)/K69*100</f>
        <v>#DIV/0!</v>
      </c>
      <c r="AM69" s="393" t="e">
        <f t="shared" ref="AM69:AM132" si="38">(+M69-L69)/L69*100</f>
        <v>#DIV/0!</v>
      </c>
      <c r="AN69" s="393" t="e">
        <f t="shared" ref="AN69:AN132" si="39">(+N69-M69)/M69*100</f>
        <v>#DIV/0!</v>
      </c>
      <c r="AO69" s="393" t="e">
        <f t="shared" ref="AO69:AO132" si="40">(+O69-N69)/N69*100</f>
        <v>#DIV/0!</v>
      </c>
      <c r="AP69" s="393" t="e">
        <f t="shared" ref="AP69:AP132" si="41">(+P69-O69)/O69*100</f>
        <v>#DIV/0!</v>
      </c>
      <c r="AQ69" s="393" t="e">
        <f t="shared" ref="AQ69:AQ132" si="42">(+Q69-P69)/P69*100</f>
        <v>#DIV/0!</v>
      </c>
      <c r="AR69" s="393" t="e">
        <f t="shared" ref="AR69:AR132" si="43">(+R69-Q69)/Q69*100</f>
        <v>#DIV/0!</v>
      </c>
      <c r="AS69" s="393">
        <f t="shared" ref="AS69:AS132" si="44">(+S69-R69)/R69*100</f>
        <v>-100</v>
      </c>
      <c r="AT69" s="393" t="e">
        <f t="shared" ref="AT69:AT132" si="45">(+T69-S69)/S69*100</f>
        <v>#DIV/0!</v>
      </c>
      <c r="AU69" s="393" t="e">
        <f t="shared" ref="AU69:AU132" si="46">(+U69-T69)/T69*100</f>
        <v>#DIV/0!</v>
      </c>
      <c r="AV69" s="393" t="e">
        <f t="shared" ref="AV69:AV132" si="47">(+V69-U69)/U69*100</f>
        <v>#DIV/0!</v>
      </c>
      <c r="AW69" s="393" t="e">
        <f t="shared" ref="AW69:AW132" si="48">(+W69-V69)/V69*100</f>
        <v>#DIV/0!</v>
      </c>
      <c r="AX69" s="393" t="e">
        <f t="shared" ref="AX69:AX132" si="49">(+X69-W69)/W69*100</f>
        <v>#DIV/0!</v>
      </c>
      <c r="AY69" s="393" t="e">
        <f t="shared" ref="AY69:AY132" si="50">(+Y69-X69)/X69*100</f>
        <v>#DIV/0!</v>
      </c>
      <c r="AZ69" s="393" t="e">
        <f t="shared" ref="AZ69:AZ132" si="51">(+Z69-Y69)/Y69*100</f>
        <v>#DIV/0!</v>
      </c>
      <c r="BA69" s="393" t="e">
        <f t="shared" ref="BA69:BA132" si="52">(+AA69-Z69)/Z69*100</f>
        <v>#DIV/0!</v>
      </c>
      <c r="BB69" s="393" t="e">
        <f t="shared" ref="BB69:BB132" si="53">(+AB69-AA69)/AA69*100</f>
        <v>#DIV/0!</v>
      </c>
    </row>
    <row r="70" spans="1:54" x14ac:dyDescent="0.25">
      <c r="A70" s="361" t="s">
        <v>770</v>
      </c>
      <c r="B70" s="480"/>
      <c r="C70" s="480"/>
      <c r="D70" s="480">
        <f>1060/1800</f>
        <v>0.58889999999999998</v>
      </c>
      <c r="E70" s="480"/>
      <c r="F70" s="480"/>
      <c r="G70" s="480"/>
      <c r="H70" s="480"/>
      <c r="I70" s="480"/>
      <c r="J70" s="480"/>
      <c r="K70" s="480"/>
      <c r="L70" s="480">
        <f>638/1200</f>
        <v>0.53169999999999995</v>
      </c>
      <c r="M70" s="480">
        <f>623/1200</f>
        <v>0.51919999999999999</v>
      </c>
      <c r="N70" s="480"/>
      <c r="O70" s="480"/>
      <c r="P70" s="480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  <c r="AB70" s="480"/>
      <c r="AC70" s="393" t="e">
        <f t="shared" si="28"/>
        <v>#DIV/0!</v>
      </c>
      <c r="AD70" s="393" t="e">
        <f t="shared" si="29"/>
        <v>#DIV/0!</v>
      </c>
      <c r="AE70" s="393">
        <f t="shared" si="30"/>
        <v>-100</v>
      </c>
      <c r="AF70" s="393" t="e">
        <f t="shared" si="31"/>
        <v>#DIV/0!</v>
      </c>
      <c r="AG70" s="393" t="e">
        <f t="shared" si="32"/>
        <v>#DIV/0!</v>
      </c>
      <c r="AH70" s="393" t="e">
        <f t="shared" si="33"/>
        <v>#DIV/0!</v>
      </c>
      <c r="AI70" s="393" t="e">
        <f t="shared" si="34"/>
        <v>#DIV/0!</v>
      </c>
      <c r="AJ70" s="393" t="e">
        <f t="shared" si="35"/>
        <v>#DIV/0!</v>
      </c>
      <c r="AK70" s="393" t="e">
        <f t="shared" si="36"/>
        <v>#DIV/0!</v>
      </c>
      <c r="AL70" s="393" t="e">
        <f t="shared" si="37"/>
        <v>#DIV/0!</v>
      </c>
      <c r="AM70" s="393">
        <f t="shared" si="38"/>
        <v>-2.351</v>
      </c>
      <c r="AN70" s="393">
        <f t="shared" si="39"/>
        <v>-100</v>
      </c>
      <c r="AO70" s="393" t="e">
        <f t="shared" si="40"/>
        <v>#DIV/0!</v>
      </c>
      <c r="AP70" s="393" t="e">
        <f t="shared" si="41"/>
        <v>#DIV/0!</v>
      </c>
      <c r="AQ70" s="393" t="e">
        <f t="shared" si="42"/>
        <v>#DIV/0!</v>
      </c>
      <c r="AR70" s="393" t="e">
        <f t="shared" si="43"/>
        <v>#DIV/0!</v>
      </c>
      <c r="AS70" s="393" t="e">
        <f t="shared" si="44"/>
        <v>#DIV/0!</v>
      </c>
      <c r="AT70" s="393" t="e">
        <f t="shared" si="45"/>
        <v>#DIV/0!</v>
      </c>
      <c r="AU70" s="393" t="e">
        <f t="shared" si="46"/>
        <v>#DIV/0!</v>
      </c>
      <c r="AV70" s="393" t="e">
        <f t="shared" si="47"/>
        <v>#DIV/0!</v>
      </c>
      <c r="AW70" s="393" t="e">
        <f t="shared" si="48"/>
        <v>#DIV/0!</v>
      </c>
      <c r="AX70" s="393" t="e">
        <f t="shared" si="49"/>
        <v>#DIV/0!</v>
      </c>
      <c r="AY70" s="393" t="e">
        <f t="shared" si="50"/>
        <v>#DIV/0!</v>
      </c>
      <c r="AZ70" s="393" t="e">
        <f t="shared" si="51"/>
        <v>#DIV/0!</v>
      </c>
      <c r="BA70" s="393" t="e">
        <f t="shared" si="52"/>
        <v>#DIV/0!</v>
      </c>
      <c r="BB70" s="393" t="e">
        <f t="shared" si="53"/>
        <v>#DIV/0!</v>
      </c>
    </row>
    <row r="71" spans="1:54" x14ac:dyDescent="0.25">
      <c r="A71" s="361" t="s">
        <v>3312</v>
      </c>
      <c r="B71" s="480"/>
      <c r="C71" s="480"/>
      <c r="D71" s="480"/>
      <c r="E71" s="480"/>
      <c r="F71" s="480"/>
      <c r="G71" s="480"/>
      <c r="H71" s="480"/>
      <c r="I71" s="480"/>
      <c r="J71" s="480">
        <f>566/1200</f>
        <v>0.47170000000000001</v>
      </c>
      <c r="K71" s="480"/>
      <c r="L71" s="480"/>
      <c r="M71" s="480"/>
      <c r="N71" s="480"/>
      <c r="O71" s="480"/>
      <c r="P71" s="480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  <c r="AB71" s="480"/>
      <c r="AC71" s="393" t="e">
        <f t="shared" si="28"/>
        <v>#DIV/0!</v>
      </c>
      <c r="AD71" s="393" t="e">
        <f t="shared" si="29"/>
        <v>#DIV/0!</v>
      </c>
      <c r="AE71" s="393" t="e">
        <f t="shared" si="30"/>
        <v>#DIV/0!</v>
      </c>
      <c r="AF71" s="393" t="e">
        <f t="shared" si="31"/>
        <v>#DIV/0!</v>
      </c>
      <c r="AG71" s="393" t="e">
        <f t="shared" si="32"/>
        <v>#DIV/0!</v>
      </c>
      <c r="AH71" s="393" t="e">
        <f t="shared" si="33"/>
        <v>#DIV/0!</v>
      </c>
      <c r="AI71" s="393" t="e">
        <f t="shared" si="34"/>
        <v>#DIV/0!</v>
      </c>
      <c r="AJ71" s="393" t="e">
        <f t="shared" si="35"/>
        <v>#DIV/0!</v>
      </c>
      <c r="AK71" s="393">
        <f t="shared" si="36"/>
        <v>-100</v>
      </c>
      <c r="AL71" s="393" t="e">
        <f t="shared" si="37"/>
        <v>#DIV/0!</v>
      </c>
      <c r="AM71" s="393" t="e">
        <f t="shared" si="38"/>
        <v>#DIV/0!</v>
      </c>
      <c r="AN71" s="393" t="e">
        <f t="shared" si="39"/>
        <v>#DIV/0!</v>
      </c>
      <c r="AO71" s="393" t="e">
        <f t="shared" si="40"/>
        <v>#DIV/0!</v>
      </c>
      <c r="AP71" s="393" t="e">
        <f t="shared" si="41"/>
        <v>#DIV/0!</v>
      </c>
      <c r="AQ71" s="393" t="e">
        <f t="shared" si="42"/>
        <v>#DIV/0!</v>
      </c>
      <c r="AR71" s="393" t="e">
        <f t="shared" si="43"/>
        <v>#DIV/0!</v>
      </c>
      <c r="AS71" s="393" t="e">
        <f t="shared" si="44"/>
        <v>#DIV/0!</v>
      </c>
      <c r="AT71" s="393" t="e">
        <f t="shared" si="45"/>
        <v>#DIV/0!</v>
      </c>
      <c r="AU71" s="393" t="e">
        <f t="shared" si="46"/>
        <v>#DIV/0!</v>
      </c>
      <c r="AV71" s="393" t="e">
        <f t="shared" si="47"/>
        <v>#DIV/0!</v>
      </c>
      <c r="AW71" s="393" t="e">
        <f t="shared" si="48"/>
        <v>#DIV/0!</v>
      </c>
      <c r="AX71" s="393" t="e">
        <f t="shared" si="49"/>
        <v>#DIV/0!</v>
      </c>
      <c r="AY71" s="393" t="e">
        <f t="shared" si="50"/>
        <v>#DIV/0!</v>
      </c>
      <c r="AZ71" s="393" t="e">
        <f t="shared" si="51"/>
        <v>#DIV/0!</v>
      </c>
      <c r="BA71" s="393" t="e">
        <f t="shared" si="52"/>
        <v>#DIV/0!</v>
      </c>
      <c r="BB71" s="393" t="e">
        <f t="shared" si="53"/>
        <v>#DIV/0!</v>
      </c>
    </row>
    <row r="72" spans="1:54" x14ac:dyDescent="0.25">
      <c r="A72" s="361" t="s">
        <v>3299</v>
      </c>
      <c r="B72" s="480"/>
      <c r="C72" s="480"/>
      <c r="D72" s="480"/>
      <c r="E72" s="480"/>
      <c r="F72" s="480"/>
      <c r="G72" s="480"/>
      <c r="H72" s="480"/>
      <c r="I72" s="480">
        <f>715/1200</f>
        <v>0.5958</v>
      </c>
      <c r="J72" s="480"/>
      <c r="K72" s="480"/>
      <c r="L72" s="480"/>
      <c r="M72" s="480"/>
      <c r="N72" s="480"/>
      <c r="O72" s="480"/>
      <c r="P72" s="480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  <c r="AB72" s="480"/>
      <c r="AC72" s="393" t="e">
        <f t="shared" si="28"/>
        <v>#DIV/0!</v>
      </c>
      <c r="AD72" s="393" t="e">
        <f t="shared" si="29"/>
        <v>#DIV/0!</v>
      </c>
      <c r="AE72" s="393" t="e">
        <f t="shared" si="30"/>
        <v>#DIV/0!</v>
      </c>
      <c r="AF72" s="393" t="e">
        <f t="shared" si="31"/>
        <v>#DIV/0!</v>
      </c>
      <c r="AG72" s="393" t="e">
        <f t="shared" si="32"/>
        <v>#DIV/0!</v>
      </c>
      <c r="AH72" s="393" t="e">
        <f t="shared" si="33"/>
        <v>#DIV/0!</v>
      </c>
      <c r="AI72" s="393" t="e">
        <f t="shared" si="34"/>
        <v>#DIV/0!</v>
      </c>
      <c r="AJ72" s="393">
        <f t="shared" si="35"/>
        <v>-100</v>
      </c>
      <c r="AK72" s="393" t="e">
        <f t="shared" si="36"/>
        <v>#DIV/0!</v>
      </c>
      <c r="AL72" s="393" t="e">
        <f t="shared" si="37"/>
        <v>#DIV/0!</v>
      </c>
      <c r="AM72" s="393" t="e">
        <f t="shared" si="38"/>
        <v>#DIV/0!</v>
      </c>
      <c r="AN72" s="393" t="e">
        <f t="shared" si="39"/>
        <v>#DIV/0!</v>
      </c>
      <c r="AO72" s="393" t="e">
        <f t="shared" si="40"/>
        <v>#DIV/0!</v>
      </c>
      <c r="AP72" s="393" t="e">
        <f t="shared" si="41"/>
        <v>#DIV/0!</v>
      </c>
      <c r="AQ72" s="393" t="e">
        <f t="shared" si="42"/>
        <v>#DIV/0!</v>
      </c>
      <c r="AR72" s="393" t="e">
        <f t="shared" si="43"/>
        <v>#DIV/0!</v>
      </c>
      <c r="AS72" s="393" t="e">
        <f t="shared" si="44"/>
        <v>#DIV/0!</v>
      </c>
      <c r="AT72" s="393" t="e">
        <f t="shared" si="45"/>
        <v>#DIV/0!</v>
      </c>
      <c r="AU72" s="393" t="e">
        <f t="shared" si="46"/>
        <v>#DIV/0!</v>
      </c>
      <c r="AV72" s="393" t="e">
        <f t="shared" si="47"/>
        <v>#DIV/0!</v>
      </c>
      <c r="AW72" s="393" t="e">
        <f t="shared" si="48"/>
        <v>#DIV/0!</v>
      </c>
      <c r="AX72" s="393" t="e">
        <f t="shared" si="49"/>
        <v>#DIV/0!</v>
      </c>
      <c r="AY72" s="393" t="e">
        <f t="shared" si="50"/>
        <v>#DIV/0!</v>
      </c>
      <c r="AZ72" s="393" t="e">
        <f t="shared" si="51"/>
        <v>#DIV/0!</v>
      </c>
      <c r="BA72" s="393" t="e">
        <f t="shared" si="52"/>
        <v>#DIV/0!</v>
      </c>
      <c r="BB72" s="393" t="e">
        <f t="shared" si="53"/>
        <v>#DIV/0!</v>
      </c>
    </row>
    <row r="73" spans="1:54" x14ac:dyDescent="0.25">
      <c r="A73" s="361" t="s">
        <v>1560</v>
      </c>
      <c r="B73" s="480"/>
      <c r="C73" s="480"/>
      <c r="D73" s="480"/>
      <c r="E73" s="480"/>
      <c r="F73" s="480"/>
      <c r="G73" s="480"/>
      <c r="H73" s="480"/>
      <c r="I73" s="480"/>
      <c r="J73" s="480"/>
      <c r="K73" s="480"/>
      <c r="L73" s="480"/>
      <c r="M73" s="480"/>
      <c r="N73" s="480"/>
      <c r="O73" s="480">
        <f>618/1200</f>
        <v>0.51500000000000001</v>
      </c>
      <c r="P73" s="480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  <c r="AB73" s="480"/>
      <c r="AC73" s="393" t="e">
        <f t="shared" si="28"/>
        <v>#DIV/0!</v>
      </c>
      <c r="AD73" s="393" t="e">
        <f t="shared" si="29"/>
        <v>#DIV/0!</v>
      </c>
      <c r="AE73" s="393" t="e">
        <f t="shared" si="30"/>
        <v>#DIV/0!</v>
      </c>
      <c r="AF73" s="393" t="e">
        <f t="shared" si="31"/>
        <v>#DIV/0!</v>
      </c>
      <c r="AG73" s="393" t="e">
        <f t="shared" si="32"/>
        <v>#DIV/0!</v>
      </c>
      <c r="AH73" s="393" t="e">
        <f t="shared" si="33"/>
        <v>#DIV/0!</v>
      </c>
      <c r="AI73" s="393" t="e">
        <f t="shared" si="34"/>
        <v>#DIV/0!</v>
      </c>
      <c r="AJ73" s="393" t="e">
        <f t="shared" si="35"/>
        <v>#DIV/0!</v>
      </c>
      <c r="AK73" s="393" t="e">
        <f t="shared" si="36"/>
        <v>#DIV/0!</v>
      </c>
      <c r="AL73" s="393" t="e">
        <f t="shared" si="37"/>
        <v>#DIV/0!</v>
      </c>
      <c r="AM73" s="393" t="e">
        <f t="shared" si="38"/>
        <v>#DIV/0!</v>
      </c>
      <c r="AN73" s="393" t="e">
        <f t="shared" si="39"/>
        <v>#DIV/0!</v>
      </c>
      <c r="AO73" s="393" t="e">
        <f t="shared" si="40"/>
        <v>#DIV/0!</v>
      </c>
      <c r="AP73" s="393">
        <f t="shared" si="41"/>
        <v>-100</v>
      </c>
      <c r="AQ73" s="393" t="e">
        <f t="shared" si="42"/>
        <v>#DIV/0!</v>
      </c>
      <c r="AR73" s="393" t="e">
        <f t="shared" si="43"/>
        <v>#DIV/0!</v>
      </c>
      <c r="AS73" s="393" t="e">
        <f t="shared" si="44"/>
        <v>#DIV/0!</v>
      </c>
      <c r="AT73" s="393" t="e">
        <f t="shared" si="45"/>
        <v>#DIV/0!</v>
      </c>
      <c r="AU73" s="393" t="e">
        <f t="shared" si="46"/>
        <v>#DIV/0!</v>
      </c>
      <c r="AV73" s="393" t="e">
        <f t="shared" si="47"/>
        <v>#DIV/0!</v>
      </c>
      <c r="AW73" s="393" t="e">
        <f t="shared" si="48"/>
        <v>#DIV/0!</v>
      </c>
      <c r="AX73" s="393" t="e">
        <f t="shared" si="49"/>
        <v>#DIV/0!</v>
      </c>
      <c r="AY73" s="393" t="e">
        <f t="shared" si="50"/>
        <v>#DIV/0!</v>
      </c>
      <c r="AZ73" s="393" t="e">
        <f t="shared" si="51"/>
        <v>#DIV/0!</v>
      </c>
      <c r="BA73" s="393" t="e">
        <f t="shared" si="52"/>
        <v>#DIV/0!</v>
      </c>
      <c r="BB73" s="393" t="e">
        <f t="shared" si="53"/>
        <v>#DIV/0!</v>
      </c>
    </row>
    <row r="74" spans="1:54" x14ac:dyDescent="0.25">
      <c r="A74" s="361" t="s">
        <v>1110</v>
      </c>
      <c r="B74" s="480"/>
      <c r="C74" s="480"/>
      <c r="D74" s="480"/>
      <c r="E74" s="480"/>
      <c r="F74" s="480"/>
      <c r="G74" s="480"/>
      <c r="H74" s="480"/>
      <c r="I74" s="480"/>
      <c r="J74" s="480"/>
      <c r="K74" s="480"/>
      <c r="L74" s="480"/>
      <c r="M74" s="480"/>
      <c r="N74" s="480"/>
      <c r="O74" s="480"/>
      <c r="P74" s="480"/>
      <c r="Q74" s="480"/>
      <c r="R74" s="480"/>
      <c r="S74" s="480"/>
      <c r="T74" s="480"/>
      <c r="U74" s="480"/>
      <c r="V74" s="481"/>
      <c r="W74" s="481"/>
      <c r="X74" s="481">
        <f>1130/1800</f>
        <v>0.62780000000000002</v>
      </c>
      <c r="Y74" s="481"/>
      <c r="Z74" s="481"/>
      <c r="AA74" s="481"/>
      <c r="AB74" s="481"/>
      <c r="AC74" s="393" t="e">
        <f t="shared" si="28"/>
        <v>#DIV/0!</v>
      </c>
      <c r="AD74" s="393" t="e">
        <f t="shared" si="29"/>
        <v>#DIV/0!</v>
      </c>
      <c r="AE74" s="393" t="e">
        <f t="shared" si="30"/>
        <v>#DIV/0!</v>
      </c>
      <c r="AF74" s="393" t="e">
        <f t="shared" si="31"/>
        <v>#DIV/0!</v>
      </c>
      <c r="AG74" s="393" t="e">
        <f t="shared" si="32"/>
        <v>#DIV/0!</v>
      </c>
      <c r="AH74" s="393" t="e">
        <f t="shared" si="33"/>
        <v>#DIV/0!</v>
      </c>
      <c r="AI74" s="393" t="e">
        <f t="shared" si="34"/>
        <v>#DIV/0!</v>
      </c>
      <c r="AJ74" s="393" t="e">
        <f t="shared" si="35"/>
        <v>#DIV/0!</v>
      </c>
      <c r="AK74" s="393" t="e">
        <f t="shared" si="36"/>
        <v>#DIV/0!</v>
      </c>
      <c r="AL74" s="393" t="e">
        <f t="shared" si="37"/>
        <v>#DIV/0!</v>
      </c>
      <c r="AM74" s="393" t="e">
        <f t="shared" si="38"/>
        <v>#DIV/0!</v>
      </c>
      <c r="AN74" s="393" t="e">
        <f t="shared" si="39"/>
        <v>#DIV/0!</v>
      </c>
      <c r="AO74" s="393" t="e">
        <f t="shared" si="40"/>
        <v>#DIV/0!</v>
      </c>
      <c r="AP74" s="393" t="e">
        <f t="shared" si="41"/>
        <v>#DIV/0!</v>
      </c>
      <c r="AQ74" s="393" t="e">
        <f t="shared" si="42"/>
        <v>#DIV/0!</v>
      </c>
      <c r="AR74" s="393" t="e">
        <f t="shared" si="43"/>
        <v>#DIV/0!</v>
      </c>
      <c r="AS74" s="393" t="e">
        <f t="shared" si="44"/>
        <v>#DIV/0!</v>
      </c>
      <c r="AT74" s="393" t="e">
        <f t="shared" si="45"/>
        <v>#DIV/0!</v>
      </c>
      <c r="AU74" s="393" t="e">
        <f t="shared" si="46"/>
        <v>#DIV/0!</v>
      </c>
      <c r="AV74" s="393" t="e">
        <f t="shared" si="47"/>
        <v>#DIV/0!</v>
      </c>
      <c r="AW74" s="393" t="e">
        <f t="shared" si="48"/>
        <v>#DIV/0!</v>
      </c>
      <c r="AX74" s="393" t="e">
        <f t="shared" si="49"/>
        <v>#DIV/0!</v>
      </c>
      <c r="AY74" s="393">
        <f t="shared" si="50"/>
        <v>-100</v>
      </c>
      <c r="AZ74" s="393" t="e">
        <f t="shared" si="51"/>
        <v>#DIV/0!</v>
      </c>
      <c r="BA74" s="393" t="e">
        <f t="shared" si="52"/>
        <v>#DIV/0!</v>
      </c>
      <c r="BB74" s="393" t="e">
        <f t="shared" si="53"/>
        <v>#DIV/0!</v>
      </c>
    </row>
    <row r="75" spans="1:54" x14ac:dyDescent="0.25">
      <c r="A75" s="361" t="s">
        <v>3589</v>
      </c>
      <c r="B75" s="480"/>
      <c r="C75" s="480"/>
      <c r="D75" s="480"/>
      <c r="E75" s="480"/>
      <c r="F75" s="480"/>
      <c r="G75" s="480">
        <f>1318/2400</f>
        <v>0.54920000000000002</v>
      </c>
      <c r="H75" s="480">
        <f>718/1200</f>
        <v>0.59830000000000005</v>
      </c>
      <c r="I75" s="480">
        <f>644/1200</f>
        <v>0.53669999999999995</v>
      </c>
      <c r="J75" s="480">
        <f>613/1200</f>
        <v>0.51080000000000003</v>
      </c>
      <c r="K75" s="480">
        <f>683/1200</f>
        <v>0.56920000000000004</v>
      </c>
      <c r="L75" s="480">
        <f>711/1200</f>
        <v>0.59250000000000003</v>
      </c>
      <c r="M75" s="480">
        <f>645/1200</f>
        <v>0.53749999999999998</v>
      </c>
      <c r="N75" s="480"/>
      <c r="O75" s="480">
        <f>632/1200</f>
        <v>0.52669999999999995</v>
      </c>
      <c r="P75" s="480">
        <f>840/1800</f>
        <v>0.4667</v>
      </c>
      <c r="Q75" s="480">
        <f>880/1800</f>
        <v>0.4889</v>
      </c>
      <c r="R75" s="480"/>
      <c r="S75" s="480"/>
      <c r="T75" s="480"/>
      <c r="U75" s="480"/>
      <c r="V75" s="481"/>
      <c r="W75" s="481"/>
      <c r="X75" s="481"/>
      <c r="Y75" s="481"/>
      <c r="Z75" s="481"/>
      <c r="AA75" s="481"/>
      <c r="AB75" s="481"/>
      <c r="AC75" s="393" t="e">
        <f t="shared" si="28"/>
        <v>#DIV/0!</v>
      </c>
      <c r="AD75" s="393" t="e">
        <f t="shared" si="29"/>
        <v>#DIV/0!</v>
      </c>
      <c r="AE75" s="393" t="e">
        <f t="shared" si="30"/>
        <v>#DIV/0!</v>
      </c>
      <c r="AF75" s="393" t="e">
        <f t="shared" si="31"/>
        <v>#DIV/0!</v>
      </c>
      <c r="AG75" s="393" t="e">
        <f t="shared" si="32"/>
        <v>#DIV/0!</v>
      </c>
      <c r="AH75" s="393">
        <f t="shared" si="33"/>
        <v>8.94</v>
      </c>
      <c r="AI75" s="393">
        <f t="shared" si="34"/>
        <v>-10.295999999999999</v>
      </c>
      <c r="AJ75" s="393">
        <f t="shared" si="35"/>
        <v>-4.8259999999999996</v>
      </c>
      <c r="AK75" s="393">
        <f t="shared" si="36"/>
        <v>11.433</v>
      </c>
      <c r="AL75" s="393">
        <f t="shared" si="37"/>
        <v>4.093</v>
      </c>
      <c r="AM75" s="393">
        <f t="shared" si="38"/>
        <v>-9.2829999999999995</v>
      </c>
      <c r="AN75" s="393">
        <f t="shared" si="39"/>
        <v>-100</v>
      </c>
      <c r="AO75" s="393" t="e">
        <f t="shared" si="40"/>
        <v>#DIV/0!</v>
      </c>
      <c r="AP75" s="393">
        <f t="shared" si="41"/>
        <v>-11.391999999999999</v>
      </c>
      <c r="AQ75" s="393">
        <f t="shared" si="42"/>
        <v>4.7569999999999997</v>
      </c>
      <c r="AR75" s="393">
        <f t="shared" si="43"/>
        <v>-100</v>
      </c>
      <c r="AS75" s="393" t="e">
        <f t="shared" si="44"/>
        <v>#DIV/0!</v>
      </c>
      <c r="AT75" s="393" t="e">
        <f t="shared" si="45"/>
        <v>#DIV/0!</v>
      </c>
      <c r="AU75" s="393" t="e">
        <f t="shared" si="46"/>
        <v>#DIV/0!</v>
      </c>
      <c r="AV75" s="393" t="e">
        <f t="shared" si="47"/>
        <v>#DIV/0!</v>
      </c>
      <c r="AW75" s="393" t="e">
        <f t="shared" si="48"/>
        <v>#DIV/0!</v>
      </c>
      <c r="AX75" s="393" t="e">
        <f t="shared" si="49"/>
        <v>#DIV/0!</v>
      </c>
      <c r="AY75" s="393" t="e">
        <f t="shared" si="50"/>
        <v>#DIV/0!</v>
      </c>
      <c r="AZ75" s="393" t="e">
        <f t="shared" si="51"/>
        <v>#DIV/0!</v>
      </c>
      <c r="BA75" s="393" t="e">
        <f t="shared" si="52"/>
        <v>#DIV/0!</v>
      </c>
      <c r="BB75" s="393" t="e">
        <f t="shared" si="53"/>
        <v>#DIV/0!</v>
      </c>
    </row>
    <row r="76" spans="1:54" x14ac:dyDescent="0.25">
      <c r="A76" s="360" t="s">
        <v>4770</v>
      </c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>
        <v>0.64200000000000002</v>
      </c>
      <c r="AC76" s="393" t="e">
        <f t="shared" si="28"/>
        <v>#DIV/0!</v>
      </c>
      <c r="AD76" s="393" t="e">
        <f t="shared" si="29"/>
        <v>#DIV/0!</v>
      </c>
      <c r="AE76" s="393" t="e">
        <f t="shared" si="30"/>
        <v>#DIV/0!</v>
      </c>
      <c r="AF76" s="393" t="e">
        <f t="shared" si="31"/>
        <v>#DIV/0!</v>
      </c>
      <c r="AG76" s="393" t="e">
        <f t="shared" si="32"/>
        <v>#DIV/0!</v>
      </c>
      <c r="AH76" s="393" t="e">
        <f t="shared" si="33"/>
        <v>#DIV/0!</v>
      </c>
      <c r="AI76" s="393" t="e">
        <f t="shared" si="34"/>
        <v>#DIV/0!</v>
      </c>
      <c r="AJ76" s="393" t="e">
        <f t="shared" si="35"/>
        <v>#DIV/0!</v>
      </c>
      <c r="AK76" s="393" t="e">
        <f t="shared" si="36"/>
        <v>#DIV/0!</v>
      </c>
      <c r="AL76" s="393" t="e">
        <f t="shared" si="37"/>
        <v>#DIV/0!</v>
      </c>
      <c r="AM76" s="393" t="e">
        <f t="shared" si="38"/>
        <v>#DIV/0!</v>
      </c>
      <c r="AN76" s="393" t="e">
        <f t="shared" si="39"/>
        <v>#DIV/0!</v>
      </c>
      <c r="AO76" s="393" t="e">
        <f t="shared" si="40"/>
        <v>#DIV/0!</v>
      </c>
      <c r="AP76" s="393" t="e">
        <f t="shared" si="41"/>
        <v>#DIV/0!</v>
      </c>
      <c r="AQ76" s="393" t="e">
        <f t="shared" si="42"/>
        <v>#DIV/0!</v>
      </c>
      <c r="AR76" s="393" t="e">
        <f t="shared" si="43"/>
        <v>#DIV/0!</v>
      </c>
      <c r="AS76" s="393" t="e">
        <f t="shared" si="44"/>
        <v>#DIV/0!</v>
      </c>
      <c r="AT76" s="393" t="e">
        <f t="shared" si="45"/>
        <v>#DIV/0!</v>
      </c>
      <c r="AU76" s="393" t="e">
        <f t="shared" si="46"/>
        <v>#DIV/0!</v>
      </c>
      <c r="AV76" s="393" t="e">
        <f t="shared" si="47"/>
        <v>#DIV/0!</v>
      </c>
      <c r="AW76" s="393" t="e">
        <f t="shared" si="48"/>
        <v>#DIV/0!</v>
      </c>
      <c r="AX76" s="393" t="e">
        <f t="shared" si="49"/>
        <v>#DIV/0!</v>
      </c>
      <c r="AY76" s="393" t="e">
        <f t="shared" si="50"/>
        <v>#DIV/0!</v>
      </c>
      <c r="AZ76" s="393" t="e">
        <f t="shared" si="51"/>
        <v>#DIV/0!</v>
      </c>
      <c r="BA76" s="393" t="e">
        <f t="shared" si="52"/>
        <v>#DIV/0!</v>
      </c>
      <c r="BB76" s="393" t="e">
        <f t="shared" si="53"/>
        <v>#DIV/0!</v>
      </c>
    </row>
    <row r="77" spans="1:54" x14ac:dyDescent="0.25">
      <c r="A77" s="360" t="s">
        <v>2615</v>
      </c>
      <c r="B77" s="480"/>
      <c r="C77" s="480"/>
      <c r="D77" s="480"/>
      <c r="E77" s="480"/>
      <c r="F77" s="480"/>
      <c r="G77" s="480">
        <f>1209/2400</f>
        <v>0.50380000000000003</v>
      </c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393" t="e">
        <f t="shared" si="28"/>
        <v>#DIV/0!</v>
      </c>
      <c r="AD77" s="393" t="e">
        <f t="shared" si="29"/>
        <v>#DIV/0!</v>
      </c>
      <c r="AE77" s="393" t="e">
        <f t="shared" si="30"/>
        <v>#DIV/0!</v>
      </c>
      <c r="AF77" s="393" t="e">
        <f t="shared" si="31"/>
        <v>#DIV/0!</v>
      </c>
      <c r="AG77" s="393" t="e">
        <f t="shared" si="32"/>
        <v>#DIV/0!</v>
      </c>
      <c r="AH77" s="393">
        <f t="shared" si="33"/>
        <v>-100</v>
      </c>
      <c r="AI77" s="393" t="e">
        <f t="shared" si="34"/>
        <v>#DIV/0!</v>
      </c>
      <c r="AJ77" s="393" t="e">
        <f t="shared" si="35"/>
        <v>#DIV/0!</v>
      </c>
      <c r="AK77" s="393" t="e">
        <f t="shared" si="36"/>
        <v>#DIV/0!</v>
      </c>
      <c r="AL77" s="393" t="e">
        <f t="shared" si="37"/>
        <v>#DIV/0!</v>
      </c>
      <c r="AM77" s="393" t="e">
        <f t="shared" si="38"/>
        <v>#DIV/0!</v>
      </c>
      <c r="AN77" s="393" t="e">
        <f t="shared" si="39"/>
        <v>#DIV/0!</v>
      </c>
      <c r="AO77" s="393" t="e">
        <f t="shared" si="40"/>
        <v>#DIV/0!</v>
      </c>
      <c r="AP77" s="393" t="e">
        <f t="shared" si="41"/>
        <v>#DIV/0!</v>
      </c>
      <c r="AQ77" s="393" t="e">
        <f t="shared" si="42"/>
        <v>#DIV/0!</v>
      </c>
      <c r="AR77" s="393" t="e">
        <f t="shared" si="43"/>
        <v>#DIV/0!</v>
      </c>
      <c r="AS77" s="393" t="e">
        <f t="shared" si="44"/>
        <v>#DIV/0!</v>
      </c>
      <c r="AT77" s="393" t="e">
        <f t="shared" si="45"/>
        <v>#DIV/0!</v>
      </c>
      <c r="AU77" s="393" t="e">
        <f t="shared" si="46"/>
        <v>#DIV/0!</v>
      </c>
      <c r="AV77" s="393" t="e">
        <f t="shared" si="47"/>
        <v>#DIV/0!</v>
      </c>
      <c r="AW77" s="393" t="e">
        <f t="shared" si="48"/>
        <v>#DIV/0!</v>
      </c>
      <c r="AX77" s="393" t="e">
        <f t="shared" si="49"/>
        <v>#DIV/0!</v>
      </c>
      <c r="AY77" s="393" t="e">
        <f t="shared" si="50"/>
        <v>#DIV/0!</v>
      </c>
      <c r="AZ77" s="393" t="e">
        <f t="shared" si="51"/>
        <v>#DIV/0!</v>
      </c>
      <c r="BA77" s="393" t="e">
        <f t="shared" si="52"/>
        <v>#DIV/0!</v>
      </c>
      <c r="BB77" s="393" t="e">
        <f t="shared" si="53"/>
        <v>#DIV/0!</v>
      </c>
    </row>
    <row r="78" spans="1:54" x14ac:dyDescent="0.25">
      <c r="A78" s="361" t="s">
        <v>937</v>
      </c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  <c r="Q78" s="480"/>
      <c r="R78" s="480"/>
      <c r="S78" s="480"/>
      <c r="T78" s="480"/>
      <c r="U78" s="480"/>
      <c r="V78" s="481"/>
      <c r="W78" s="481">
        <f>734/1200</f>
        <v>0.61170000000000002</v>
      </c>
      <c r="X78" s="481">
        <f>1097/1800</f>
        <v>0.60940000000000005</v>
      </c>
      <c r="Y78" s="481"/>
      <c r="Z78" s="481"/>
      <c r="AA78" s="481"/>
      <c r="AB78" s="481"/>
      <c r="AC78" s="393" t="e">
        <f t="shared" si="28"/>
        <v>#DIV/0!</v>
      </c>
      <c r="AD78" s="393" t="e">
        <f t="shared" si="29"/>
        <v>#DIV/0!</v>
      </c>
      <c r="AE78" s="393" t="e">
        <f t="shared" si="30"/>
        <v>#DIV/0!</v>
      </c>
      <c r="AF78" s="393" t="e">
        <f t="shared" si="31"/>
        <v>#DIV/0!</v>
      </c>
      <c r="AG78" s="393" t="e">
        <f t="shared" si="32"/>
        <v>#DIV/0!</v>
      </c>
      <c r="AH78" s="393" t="e">
        <f t="shared" si="33"/>
        <v>#DIV/0!</v>
      </c>
      <c r="AI78" s="393" t="e">
        <f t="shared" si="34"/>
        <v>#DIV/0!</v>
      </c>
      <c r="AJ78" s="393" t="e">
        <f t="shared" si="35"/>
        <v>#DIV/0!</v>
      </c>
      <c r="AK78" s="393" t="e">
        <f t="shared" si="36"/>
        <v>#DIV/0!</v>
      </c>
      <c r="AL78" s="393" t="e">
        <f t="shared" si="37"/>
        <v>#DIV/0!</v>
      </c>
      <c r="AM78" s="393" t="e">
        <f t="shared" si="38"/>
        <v>#DIV/0!</v>
      </c>
      <c r="AN78" s="393" t="e">
        <f t="shared" si="39"/>
        <v>#DIV/0!</v>
      </c>
      <c r="AO78" s="393" t="e">
        <f t="shared" si="40"/>
        <v>#DIV/0!</v>
      </c>
      <c r="AP78" s="393" t="e">
        <f t="shared" si="41"/>
        <v>#DIV/0!</v>
      </c>
      <c r="AQ78" s="393" t="e">
        <f t="shared" si="42"/>
        <v>#DIV/0!</v>
      </c>
      <c r="AR78" s="393" t="e">
        <f t="shared" si="43"/>
        <v>#DIV/0!</v>
      </c>
      <c r="AS78" s="393" t="e">
        <f t="shared" si="44"/>
        <v>#DIV/0!</v>
      </c>
      <c r="AT78" s="393" t="e">
        <f t="shared" si="45"/>
        <v>#DIV/0!</v>
      </c>
      <c r="AU78" s="393" t="e">
        <f t="shared" si="46"/>
        <v>#DIV/0!</v>
      </c>
      <c r="AV78" s="393" t="e">
        <f t="shared" si="47"/>
        <v>#DIV/0!</v>
      </c>
      <c r="AW78" s="393" t="e">
        <f t="shared" si="48"/>
        <v>#DIV/0!</v>
      </c>
      <c r="AX78" s="393">
        <f t="shared" si="49"/>
        <v>-0.376</v>
      </c>
      <c r="AY78" s="393">
        <f t="shared" si="50"/>
        <v>-100</v>
      </c>
      <c r="AZ78" s="393" t="e">
        <f t="shared" si="51"/>
        <v>#DIV/0!</v>
      </c>
      <c r="BA78" s="393" t="e">
        <f t="shared" si="52"/>
        <v>#DIV/0!</v>
      </c>
      <c r="BB78" s="393" t="e">
        <f t="shared" si="53"/>
        <v>#DIV/0!</v>
      </c>
    </row>
    <row r="79" spans="1:54" x14ac:dyDescent="0.25">
      <c r="A79" s="361" t="s">
        <v>80</v>
      </c>
      <c r="B79" s="480"/>
      <c r="C79" s="480"/>
      <c r="D79" s="480"/>
      <c r="E79" s="480"/>
      <c r="F79" s="480"/>
      <c r="G79" s="480"/>
      <c r="H79" s="480"/>
      <c r="I79" s="480"/>
      <c r="J79" s="480"/>
      <c r="K79" s="480"/>
      <c r="L79" s="480"/>
      <c r="M79" s="480"/>
      <c r="N79" s="480"/>
      <c r="O79" s="480"/>
      <c r="P79" s="480"/>
      <c r="Q79" s="480"/>
      <c r="R79" s="480"/>
      <c r="S79" s="480"/>
      <c r="T79" s="480"/>
      <c r="U79" s="480">
        <f>993/1800</f>
        <v>0.55169999999999997</v>
      </c>
      <c r="V79" s="480"/>
      <c r="W79" s="480"/>
      <c r="X79" s="480"/>
      <c r="Y79" s="480"/>
      <c r="Z79" s="480"/>
      <c r="AA79" s="480"/>
      <c r="AB79" s="480"/>
      <c r="AC79" s="393" t="e">
        <f t="shared" si="28"/>
        <v>#DIV/0!</v>
      </c>
      <c r="AD79" s="393" t="e">
        <f t="shared" si="29"/>
        <v>#DIV/0!</v>
      </c>
      <c r="AE79" s="393" t="e">
        <f t="shared" si="30"/>
        <v>#DIV/0!</v>
      </c>
      <c r="AF79" s="393" t="e">
        <f t="shared" si="31"/>
        <v>#DIV/0!</v>
      </c>
      <c r="AG79" s="393" t="e">
        <f t="shared" si="32"/>
        <v>#DIV/0!</v>
      </c>
      <c r="AH79" s="393" t="e">
        <f t="shared" si="33"/>
        <v>#DIV/0!</v>
      </c>
      <c r="AI79" s="393" t="e">
        <f t="shared" si="34"/>
        <v>#DIV/0!</v>
      </c>
      <c r="AJ79" s="393" t="e">
        <f t="shared" si="35"/>
        <v>#DIV/0!</v>
      </c>
      <c r="AK79" s="393" t="e">
        <f t="shared" si="36"/>
        <v>#DIV/0!</v>
      </c>
      <c r="AL79" s="393" t="e">
        <f t="shared" si="37"/>
        <v>#DIV/0!</v>
      </c>
      <c r="AM79" s="393" t="e">
        <f t="shared" si="38"/>
        <v>#DIV/0!</v>
      </c>
      <c r="AN79" s="393" t="e">
        <f t="shared" si="39"/>
        <v>#DIV/0!</v>
      </c>
      <c r="AO79" s="393" t="e">
        <f t="shared" si="40"/>
        <v>#DIV/0!</v>
      </c>
      <c r="AP79" s="393" t="e">
        <f t="shared" si="41"/>
        <v>#DIV/0!</v>
      </c>
      <c r="AQ79" s="393" t="e">
        <f t="shared" si="42"/>
        <v>#DIV/0!</v>
      </c>
      <c r="AR79" s="393" t="e">
        <f t="shared" si="43"/>
        <v>#DIV/0!</v>
      </c>
      <c r="AS79" s="393" t="e">
        <f t="shared" si="44"/>
        <v>#DIV/0!</v>
      </c>
      <c r="AT79" s="393" t="e">
        <f t="shared" si="45"/>
        <v>#DIV/0!</v>
      </c>
      <c r="AU79" s="393" t="e">
        <f t="shared" si="46"/>
        <v>#DIV/0!</v>
      </c>
      <c r="AV79" s="393">
        <f t="shared" si="47"/>
        <v>-100</v>
      </c>
      <c r="AW79" s="393" t="e">
        <f t="shared" si="48"/>
        <v>#DIV/0!</v>
      </c>
      <c r="AX79" s="393" t="e">
        <f t="shared" si="49"/>
        <v>#DIV/0!</v>
      </c>
      <c r="AY79" s="393" t="e">
        <f t="shared" si="50"/>
        <v>#DIV/0!</v>
      </c>
      <c r="AZ79" s="393" t="e">
        <f t="shared" si="51"/>
        <v>#DIV/0!</v>
      </c>
      <c r="BA79" s="393" t="e">
        <f t="shared" si="52"/>
        <v>#DIV/0!</v>
      </c>
      <c r="BB79" s="393" t="e">
        <f t="shared" si="53"/>
        <v>#DIV/0!</v>
      </c>
    </row>
    <row r="80" spans="1:54" x14ac:dyDescent="0.25">
      <c r="A80" s="360" t="s">
        <v>772</v>
      </c>
      <c r="B80" s="480"/>
      <c r="C80" s="480"/>
      <c r="D80" s="480">
        <f>1014/1800</f>
        <v>0.56330000000000002</v>
      </c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  <c r="AC80" s="393" t="e">
        <f t="shared" si="28"/>
        <v>#DIV/0!</v>
      </c>
      <c r="AD80" s="393" t="e">
        <f t="shared" si="29"/>
        <v>#DIV/0!</v>
      </c>
      <c r="AE80" s="393">
        <f t="shared" si="30"/>
        <v>-100</v>
      </c>
      <c r="AF80" s="393" t="e">
        <f t="shared" si="31"/>
        <v>#DIV/0!</v>
      </c>
      <c r="AG80" s="393" t="e">
        <f t="shared" si="32"/>
        <v>#DIV/0!</v>
      </c>
      <c r="AH80" s="393" t="e">
        <f t="shared" si="33"/>
        <v>#DIV/0!</v>
      </c>
      <c r="AI80" s="393" t="e">
        <f t="shared" si="34"/>
        <v>#DIV/0!</v>
      </c>
      <c r="AJ80" s="393" t="e">
        <f t="shared" si="35"/>
        <v>#DIV/0!</v>
      </c>
      <c r="AK80" s="393" t="e">
        <f t="shared" si="36"/>
        <v>#DIV/0!</v>
      </c>
      <c r="AL80" s="393" t="e">
        <f t="shared" si="37"/>
        <v>#DIV/0!</v>
      </c>
      <c r="AM80" s="393" t="e">
        <f t="shared" si="38"/>
        <v>#DIV/0!</v>
      </c>
      <c r="AN80" s="393" t="e">
        <f t="shared" si="39"/>
        <v>#DIV/0!</v>
      </c>
      <c r="AO80" s="393" t="e">
        <f t="shared" si="40"/>
        <v>#DIV/0!</v>
      </c>
      <c r="AP80" s="393" t="e">
        <f t="shared" si="41"/>
        <v>#DIV/0!</v>
      </c>
      <c r="AQ80" s="393" t="e">
        <f t="shared" si="42"/>
        <v>#DIV/0!</v>
      </c>
      <c r="AR80" s="393" t="e">
        <f t="shared" si="43"/>
        <v>#DIV/0!</v>
      </c>
      <c r="AS80" s="393" t="e">
        <f t="shared" si="44"/>
        <v>#DIV/0!</v>
      </c>
      <c r="AT80" s="393" t="e">
        <f t="shared" si="45"/>
        <v>#DIV/0!</v>
      </c>
      <c r="AU80" s="393" t="e">
        <f t="shared" si="46"/>
        <v>#DIV/0!</v>
      </c>
      <c r="AV80" s="393" t="e">
        <f t="shared" si="47"/>
        <v>#DIV/0!</v>
      </c>
      <c r="AW80" s="393" t="e">
        <f t="shared" si="48"/>
        <v>#DIV/0!</v>
      </c>
      <c r="AX80" s="393" t="e">
        <f t="shared" si="49"/>
        <v>#DIV/0!</v>
      </c>
      <c r="AY80" s="393" t="e">
        <f t="shared" si="50"/>
        <v>#DIV/0!</v>
      </c>
      <c r="AZ80" s="393" t="e">
        <f t="shared" si="51"/>
        <v>#DIV/0!</v>
      </c>
      <c r="BA80" s="393" t="e">
        <f t="shared" si="52"/>
        <v>#DIV/0!</v>
      </c>
      <c r="BB80" s="393" t="e">
        <f t="shared" si="53"/>
        <v>#DIV/0!</v>
      </c>
    </row>
    <row r="81" spans="1:54" x14ac:dyDescent="0.25">
      <c r="A81" s="361" t="s">
        <v>624</v>
      </c>
      <c r="B81" s="480"/>
      <c r="C81" s="480"/>
      <c r="D81" s="480"/>
      <c r="E81" s="480"/>
      <c r="F81" s="480"/>
      <c r="G81" s="480"/>
      <c r="H81" s="480"/>
      <c r="I81" s="480"/>
      <c r="J81" s="480"/>
      <c r="K81" s="480"/>
      <c r="L81" s="480"/>
      <c r="M81" s="480">
        <f>751/1200</f>
        <v>0.62580000000000002</v>
      </c>
      <c r="N81" s="480">
        <f>726/1200</f>
        <v>0.60499999999999998</v>
      </c>
      <c r="O81" s="480"/>
      <c r="P81" s="480"/>
      <c r="Q81" s="480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  <c r="AC81" s="393" t="e">
        <f t="shared" si="28"/>
        <v>#DIV/0!</v>
      </c>
      <c r="AD81" s="393" t="e">
        <f t="shared" si="29"/>
        <v>#DIV/0!</v>
      </c>
      <c r="AE81" s="393" t="e">
        <f t="shared" si="30"/>
        <v>#DIV/0!</v>
      </c>
      <c r="AF81" s="393" t="e">
        <f t="shared" si="31"/>
        <v>#DIV/0!</v>
      </c>
      <c r="AG81" s="393" t="e">
        <f t="shared" si="32"/>
        <v>#DIV/0!</v>
      </c>
      <c r="AH81" s="393" t="e">
        <f t="shared" si="33"/>
        <v>#DIV/0!</v>
      </c>
      <c r="AI81" s="393" t="e">
        <f t="shared" si="34"/>
        <v>#DIV/0!</v>
      </c>
      <c r="AJ81" s="393" t="e">
        <f t="shared" si="35"/>
        <v>#DIV/0!</v>
      </c>
      <c r="AK81" s="393" t="e">
        <f t="shared" si="36"/>
        <v>#DIV/0!</v>
      </c>
      <c r="AL81" s="393" t="e">
        <f t="shared" si="37"/>
        <v>#DIV/0!</v>
      </c>
      <c r="AM81" s="393" t="e">
        <f t="shared" si="38"/>
        <v>#DIV/0!</v>
      </c>
      <c r="AN81" s="393">
        <f t="shared" si="39"/>
        <v>-3.3239999999999998</v>
      </c>
      <c r="AO81" s="393">
        <f t="shared" si="40"/>
        <v>-100</v>
      </c>
      <c r="AP81" s="393" t="e">
        <f t="shared" si="41"/>
        <v>#DIV/0!</v>
      </c>
      <c r="AQ81" s="393" t="e">
        <f t="shared" si="42"/>
        <v>#DIV/0!</v>
      </c>
      <c r="AR81" s="393" t="e">
        <f t="shared" si="43"/>
        <v>#DIV/0!</v>
      </c>
      <c r="AS81" s="393" t="e">
        <f t="shared" si="44"/>
        <v>#DIV/0!</v>
      </c>
      <c r="AT81" s="393" t="e">
        <f t="shared" si="45"/>
        <v>#DIV/0!</v>
      </c>
      <c r="AU81" s="393" t="e">
        <f t="shared" si="46"/>
        <v>#DIV/0!</v>
      </c>
      <c r="AV81" s="393" t="e">
        <f t="shared" si="47"/>
        <v>#DIV/0!</v>
      </c>
      <c r="AW81" s="393" t="e">
        <f t="shared" si="48"/>
        <v>#DIV/0!</v>
      </c>
      <c r="AX81" s="393" t="e">
        <f t="shared" si="49"/>
        <v>#DIV/0!</v>
      </c>
      <c r="AY81" s="393" t="e">
        <f t="shared" si="50"/>
        <v>#DIV/0!</v>
      </c>
      <c r="AZ81" s="393" t="e">
        <f t="shared" si="51"/>
        <v>#DIV/0!</v>
      </c>
      <c r="BA81" s="393" t="e">
        <f t="shared" si="52"/>
        <v>#DIV/0!</v>
      </c>
      <c r="BB81" s="393" t="e">
        <f t="shared" si="53"/>
        <v>#DIV/0!</v>
      </c>
    </row>
    <row r="82" spans="1:54" x14ac:dyDescent="0.25">
      <c r="A82" s="360" t="s">
        <v>2617</v>
      </c>
      <c r="B82" s="480"/>
      <c r="C82" s="480"/>
      <c r="D82" s="480"/>
      <c r="E82" s="480"/>
      <c r="F82" s="480"/>
      <c r="G82" s="480">
        <f>1178/2400</f>
        <v>0.49080000000000001</v>
      </c>
      <c r="H82" s="480"/>
      <c r="I82" s="480"/>
      <c r="J82" s="480"/>
      <c r="K82" s="480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393" t="e">
        <f t="shared" si="28"/>
        <v>#DIV/0!</v>
      </c>
      <c r="AD82" s="393" t="e">
        <f t="shared" si="29"/>
        <v>#DIV/0!</v>
      </c>
      <c r="AE82" s="393" t="e">
        <f t="shared" si="30"/>
        <v>#DIV/0!</v>
      </c>
      <c r="AF82" s="393" t="e">
        <f t="shared" si="31"/>
        <v>#DIV/0!</v>
      </c>
      <c r="AG82" s="393" t="e">
        <f t="shared" si="32"/>
        <v>#DIV/0!</v>
      </c>
      <c r="AH82" s="393">
        <f t="shared" si="33"/>
        <v>-100</v>
      </c>
      <c r="AI82" s="393" t="e">
        <f t="shared" si="34"/>
        <v>#DIV/0!</v>
      </c>
      <c r="AJ82" s="393" t="e">
        <f t="shared" si="35"/>
        <v>#DIV/0!</v>
      </c>
      <c r="AK82" s="393" t="e">
        <f t="shared" si="36"/>
        <v>#DIV/0!</v>
      </c>
      <c r="AL82" s="393" t="e">
        <f t="shared" si="37"/>
        <v>#DIV/0!</v>
      </c>
      <c r="AM82" s="393" t="e">
        <f t="shared" si="38"/>
        <v>#DIV/0!</v>
      </c>
      <c r="AN82" s="393" t="e">
        <f t="shared" si="39"/>
        <v>#DIV/0!</v>
      </c>
      <c r="AO82" s="393" t="e">
        <f t="shared" si="40"/>
        <v>#DIV/0!</v>
      </c>
      <c r="AP82" s="393" t="e">
        <f t="shared" si="41"/>
        <v>#DIV/0!</v>
      </c>
      <c r="AQ82" s="393" t="e">
        <f t="shared" si="42"/>
        <v>#DIV/0!</v>
      </c>
      <c r="AR82" s="393" t="e">
        <f t="shared" si="43"/>
        <v>#DIV/0!</v>
      </c>
      <c r="AS82" s="393" t="e">
        <f t="shared" si="44"/>
        <v>#DIV/0!</v>
      </c>
      <c r="AT82" s="393" t="e">
        <f t="shared" si="45"/>
        <v>#DIV/0!</v>
      </c>
      <c r="AU82" s="393" t="e">
        <f t="shared" si="46"/>
        <v>#DIV/0!</v>
      </c>
      <c r="AV82" s="393" t="e">
        <f t="shared" si="47"/>
        <v>#DIV/0!</v>
      </c>
      <c r="AW82" s="393" t="e">
        <f t="shared" si="48"/>
        <v>#DIV/0!</v>
      </c>
      <c r="AX82" s="393" t="e">
        <f t="shared" si="49"/>
        <v>#DIV/0!</v>
      </c>
      <c r="AY82" s="393" t="e">
        <f t="shared" si="50"/>
        <v>#DIV/0!</v>
      </c>
      <c r="AZ82" s="393" t="e">
        <f t="shared" si="51"/>
        <v>#DIV/0!</v>
      </c>
      <c r="BA82" s="393" t="e">
        <f t="shared" si="52"/>
        <v>#DIV/0!</v>
      </c>
      <c r="BB82" s="393" t="e">
        <f t="shared" si="53"/>
        <v>#DIV/0!</v>
      </c>
    </row>
    <row r="83" spans="1:54" x14ac:dyDescent="0.25">
      <c r="A83" s="355" t="s">
        <v>3101</v>
      </c>
      <c r="B83" s="480">
        <f>999/1800</f>
        <v>0.55500000000000005</v>
      </c>
      <c r="C83" s="480">
        <f>1114/1800</f>
        <v>0.61890000000000001</v>
      </c>
      <c r="D83" s="480">
        <f>1105/1800</f>
        <v>0.6139</v>
      </c>
      <c r="E83" s="480">
        <f>1164/1800</f>
        <v>0.64670000000000005</v>
      </c>
      <c r="F83" s="480">
        <f>703/1200</f>
        <v>0.58579999999999999</v>
      </c>
      <c r="G83" s="480">
        <f>1556/2400</f>
        <v>0.64829999999999999</v>
      </c>
      <c r="H83" s="480">
        <f>680/1200</f>
        <v>0.56669999999999998</v>
      </c>
      <c r="I83" s="480">
        <f>704/1200</f>
        <v>0.5867</v>
      </c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>
        <v>0.67900000000000005</v>
      </c>
      <c r="AC83" s="393">
        <f t="shared" si="28"/>
        <v>11.513999999999999</v>
      </c>
      <c r="AD83" s="393">
        <f t="shared" si="29"/>
        <v>-0.80800000000000005</v>
      </c>
      <c r="AE83" s="393">
        <f t="shared" si="30"/>
        <v>5.343</v>
      </c>
      <c r="AF83" s="393">
        <f t="shared" si="31"/>
        <v>-9.4169999999999998</v>
      </c>
      <c r="AG83" s="393">
        <f t="shared" si="32"/>
        <v>10.669</v>
      </c>
      <c r="AH83" s="393">
        <f t="shared" si="33"/>
        <v>-12.587</v>
      </c>
      <c r="AI83" s="393">
        <f t="shared" si="34"/>
        <v>3.5289999999999999</v>
      </c>
      <c r="AJ83" s="393">
        <f t="shared" si="35"/>
        <v>-100</v>
      </c>
      <c r="AK83" s="393" t="e">
        <f t="shared" si="36"/>
        <v>#DIV/0!</v>
      </c>
      <c r="AL83" s="393" t="e">
        <f t="shared" si="37"/>
        <v>#DIV/0!</v>
      </c>
      <c r="AM83" s="393" t="e">
        <f t="shared" si="38"/>
        <v>#DIV/0!</v>
      </c>
      <c r="AN83" s="393" t="e">
        <f t="shared" si="39"/>
        <v>#DIV/0!</v>
      </c>
      <c r="AO83" s="393" t="e">
        <f t="shared" si="40"/>
        <v>#DIV/0!</v>
      </c>
      <c r="AP83" s="393" t="e">
        <f t="shared" si="41"/>
        <v>#DIV/0!</v>
      </c>
      <c r="AQ83" s="393" t="e">
        <f t="shared" si="42"/>
        <v>#DIV/0!</v>
      </c>
      <c r="AR83" s="393" t="e">
        <f t="shared" si="43"/>
        <v>#DIV/0!</v>
      </c>
      <c r="AS83" s="393" t="e">
        <f t="shared" si="44"/>
        <v>#DIV/0!</v>
      </c>
      <c r="AT83" s="393" t="e">
        <f t="shared" si="45"/>
        <v>#DIV/0!</v>
      </c>
      <c r="AU83" s="393" t="e">
        <f t="shared" si="46"/>
        <v>#DIV/0!</v>
      </c>
      <c r="AV83" s="393" t="e">
        <f t="shared" si="47"/>
        <v>#DIV/0!</v>
      </c>
      <c r="AW83" s="393" t="e">
        <f t="shared" si="48"/>
        <v>#DIV/0!</v>
      </c>
      <c r="AX83" s="393" t="e">
        <f t="shared" si="49"/>
        <v>#DIV/0!</v>
      </c>
      <c r="AY83" s="393" t="e">
        <f t="shared" si="50"/>
        <v>#DIV/0!</v>
      </c>
      <c r="AZ83" s="393" t="e">
        <f t="shared" si="51"/>
        <v>#DIV/0!</v>
      </c>
      <c r="BA83" s="393" t="e">
        <f t="shared" si="52"/>
        <v>#DIV/0!</v>
      </c>
      <c r="BB83" s="393" t="e">
        <f t="shared" si="53"/>
        <v>#DIV/0!</v>
      </c>
    </row>
    <row r="84" spans="1:54" x14ac:dyDescent="0.25">
      <c r="A84" s="361" t="s">
        <v>1594</v>
      </c>
      <c r="B84" s="480"/>
      <c r="C84" s="480"/>
      <c r="D84" s="480"/>
      <c r="E84" s="480"/>
      <c r="F84" s="480"/>
      <c r="G84" s="480"/>
      <c r="H84" s="480"/>
      <c r="I84" s="480"/>
      <c r="J84" s="480"/>
      <c r="K84" s="480"/>
      <c r="L84" s="480"/>
      <c r="M84" s="480"/>
      <c r="N84" s="480"/>
      <c r="O84" s="480"/>
      <c r="P84" s="480"/>
      <c r="Q84" s="480"/>
      <c r="R84" s="480">
        <f>994/1800</f>
        <v>0.55220000000000002</v>
      </c>
      <c r="S84" s="480">
        <f>935/1800</f>
        <v>0.51939999999999997</v>
      </c>
      <c r="T84" s="480">
        <f>683/1200</f>
        <v>0.56920000000000004</v>
      </c>
      <c r="U84" s="480"/>
      <c r="V84" s="480"/>
      <c r="W84" s="480"/>
      <c r="X84" s="480"/>
      <c r="Y84" s="480"/>
      <c r="Z84" s="480"/>
      <c r="AA84" s="480"/>
      <c r="AB84" s="480"/>
      <c r="AC84" s="393" t="e">
        <f t="shared" si="28"/>
        <v>#DIV/0!</v>
      </c>
      <c r="AD84" s="393" t="e">
        <f t="shared" si="29"/>
        <v>#DIV/0!</v>
      </c>
      <c r="AE84" s="393" t="e">
        <f t="shared" si="30"/>
        <v>#DIV/0!</v>
      </c>
      <c r="AF84" s="393" t="e">
        <f t="shared" si="31"/>
        <v>#DIV/0!</v>
      </c>
      <c r="AG84" s="393" t="e">
        <f t="shared" si="32"/>
        <v>#DIV/0!</v>
      </c>
      <c r="AH84" s="393" t="e">
        <f t="shared" si="33"/>
        <v>#DIV/0!</v>
      </c>
      <c r="AI84" s="393" t="e">
        <f t="shared" si="34"/>
        <v>#DIV/0!</v>
      </c>
      <c r="AJ84" s="393" t="e">
        <f t="shared" si="35"/>
        <v>#DIV/0!</v>
      </c>
      <c r="AK84" s="393" t="e">
        <f t="shared" si="36"/>
        <v>#DIV/0!</v>
      </c>
      <c r="AL84" s="393" t="e">
        <f t="shared" si="37"/>
        <v>#DIV/0!</v>
      </c>
      <c r="AM84" s="393" t="e">
        <f t="shared" si="38"/>
        <v>#DIV/0!</v>
      </c>
      <c r="AN84" s="393" t="e">
        <f t="shared" si="39"/>
        <v>#DIV/0!</v>
      </c>
      <c r="AO84" s="393" t="e">
        <f t="shared" si="40"/>
        <v>#DIV/0!</v>
      </c>
      <c r="AP84" s="393" t="e">
        <f t="shared" si="41"/>
        <v>#DIV/0!</v>
      </c>
      <c r="AQ84" s="393" t="e">
        <f t="shared" si="42"/>
        <v>#DIV/0!</v>
      </c>
      <c r="AR84" s="393" t="e">
        <f t="shared" si="43"/>
        <v>#DIV/0!</v>
      </c>
      <c r="AS84" s="393">
        <f t="shared" si="44"/>
        <v>-5.94</v>
      </c>
      <c r="AT84" s="393">
        <f t="shared" si="45"/>
        <v>9.5879999999999992</v>
      </c>
      <c r="AU84" s="393">
        <f t="shared" si="46"/>
        <v>-100</v>
      </c>
      <c r="AV84" s="393" t="e">
        <f t="shared" si="47"/>
        <v>#DIV/0!</v>
      </c>
      <c r="AW84" s="393" t="e">
        <f t="shared" si="48"/>
        <v>#DIV/0!</v>
      </c>
      <c r="AX84" s="393" t="e">
        <f t="shared" si="49"/>
        <v>#DIV/0!</v>
      </c>
      <c r="AY84" s="393" t="e">
        <f t="shared" si="50"/>
        <v>#DIV/0!</v>
      </c>
      <c r="AZ84" s="393" t="e">
        <f t="shared" si="51"/>
        <v>#DIV/0!</v>
      </c>
      <c r="BA84" s="393" t="e">
        <f t="shared" si="52"/>
        <v>#DIV/0!</v>
      </c>
      <c r="BB84" s="393" t="e">
        <f t="shared" si="53"/>
        <v>#DIV/0!</v>
      </c>
    </row>
    <row r="85" spans="1:54" x14ac:dyDescent="0.25">
      <c r="A85" s="361" t="s">
        <v>4863</v>
      </c>
      <c r="B85" s="480"/>
      <c r="C85" s="480"/>
      <c r="D85" s="480"/>
      <c r="E85" s="480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>
        <v>0.66500000000000004</v>
      </c>
      <c r="AC85" s="393" t="e">
        <f t="shared" si="28"/>
        <v>#DIV/0!</v>
      </c>
      <c r="AD85" s="393" t="e">
        <f t="shared" si="29"/>
        <v>#DIV/0!</v>
      </c>
      <c r="AE85" s="393" t="e">
        <f t="shared" si="30"/>
        <v>#DIV/0!</v>
      </c>
      <c r="AF85" s="393" t="e">
        <f t="shared" si="31"/>
        <v>#DIV/0!</v>
      </c>
      <c r="AG85" s="393" t="e">
        <f t="shared" si="32"/>
        <v>#DIV/0!</v>
      </c>
      <c r="AH85" s="393" t="e">
        <f t="shared" si="33"/>
        <v>#DIV/0!</v>
      </c>
      <c r="AI85" s="393" t="e">
        <f t="shared" si="34"/>
        <v>#DIV/0!</v>
      </c>
      <c r="AJ85" s="393" t="e">
        <f t="shared" si="35"/>
        <v>#DIV/0!</v>
      </c>
      <c r="AK85" s="393" t="e">
        <f t="shared" si="36"/>
        <v>#DIV/0!</v>
      </c>
      <c r="AL85" s="393" t="e">
        <f t="shared" si="37"/>
        <v>#DIV/0!</v>
      </c>
      <c r="AM85" s="393" t="e">
        <f t="shared" si="38"/>
        <v>#DIV/0!</v>
      </c>
      <c r="AN85" s="393" t="e">
        <f t="shared" si="39"/>
        <v>#DIV/0!</v>
      </c>
      <c r="AO85" s="393" t="e">
        <f t="shared" si="40"/>
        <v>#DIV/0!</v>
      </c>
      <c r="AP85" s="393" t="e">
        <f t="shared" si="41"/>
        <v>#DIV/0!</v>
      </c>
      <c r="AQ85" s="393" t="e">
        <f t="shared" si="42"/>
        <v>#DIV/0!</v>
      </c>
      <c r="AR85" s="393" t="e">
        <f t="shared" si="43"/>
        <v>#DIV/0!</v>
      </c>
      <c r="AS85" s="393" t="e">
        <f t="shared" si="44"/>
        <v>#DIV/0!</v>
      </c>
      <c r="AT85" s="393" t="e">
        <f t="shared" si="45"/>
        <v>#DIV/0!</v>
      </c>
      <c r="AU85" s="393" t="e">
        <f t="shared" si="46"/>
        <v>#DIV/0!</v>
      </c>
      <c r="AV85" s="393" t="e">
        <f t="shared" si="47"/>
        <v>#DIV/0!</v>
      </c>
      <c r="AW85" s="393" t="e">
        <f t="shared" si="48"/>
        <v>#DIV/0!</v>
      </c>
      <c r="AX85" s="393" t="e">
        <f t="shared" si="49"/>
        <v>#DIV/0!</v>
      </c>
      <c r="AY85" s="393" t="e">
        <f t="shared" si="50"/>
        <v>#DIV/0!</v>
      </c>
      <c r="AZ85" s="393" t="e">
        <f t="shared" si="51"/>
        <v>#DIV/0!</v>
      </c>
      <c r="BA85" s="393" t="e">
        <f t="shared" si="52"/>
        <v>#DIV/0!</v>
      </c>
      <c r="BB85" s="393" t="e">
        <f t="shared" si="53"/>
        <v>#DIV/0!</v>
      </c>
    </row>
    <row r="86" spans="1:54" x14ac:dyDescent="0.25">
      <c r="A86" s="360" t="s">
        <v>1327</v>
      </c>
      <c r="B86" s="480"/>
      <c r="C86" s="480"/>
      <c r="D86" s="480"/>
      <c r="E86" s="480">
        <f>634/1800</f>
        <v>0.35220000000000001</v>
      </c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393" t="e">
        <f t="shared" si="28"/>
        <v>#DIV/0!</v>
      </c>
      <c r="AD86" s="393" t="e">
        <f t="shared" si="29"/>
        <v>#DIV/0!</v>
      </c>
      <c r="AE86" s="393" t="e">
        <f t="shared" si="30"/>
        <v>#DIV/0!</v>
      </c>
      <c r="AF86" s="393">
        <f t="shared" si="31"/>
        <v>-100</v>
      </c>
      <c r="AG86" s="393" t="e">
        <f t="shared" si="32"/>
        <v>#DIV/0!</v>
      </c>
      <c r="AH86" s="393" t="e">
        <f t="shared" si="33"/>
        <v>#DIV/0!</v>
      </c>
      <c r="AI86" s="393" t="e">
        <f t="shared" si="34"/>
        <v>#DIV/0!</v>
      </c>
      <c r="AJ86" s="393" t="e">
        <f t="shared" si="35"/>
        <v>#DIV/0!</v>
      </c>
      <c r="AK86" s="393" t="e">
        <f t="shared" si="36"/>
        <v>#DIV/0!</v>
      </c>
      <c r="AL86" s="393" t="e">
        <f t="shared" si="37"/>
        <v>#DIV/0!</v>
      </c>
      <c r="AM86" s="393" t="e">
        <f t="shared" si="38"/>
        <v>#DIV/0!</v>
      </c>
      <c r="AN86" s="393" t="e">
        <f t="shared" si="39"/>
        <v>#DIV/0!</v>
      </c>
      <c r="AO86" s="393" t="e">
        <f t="shared" si="40"/>
        <v>#DIV/0!</v>
      </c>
      <c r="AP86" s="393" t="e">
        <f t="shared" si="41"/>
        <v>#DIV/0!</v>
      </c>
      <c r="AQ86" s="393" t="e">
        <f t="shared" si="42"/>
        <v>#DIV/0!</v>
      </c>
      <c r="AR86" s="393" t="e">
        <f t="shared" si="43"/>
        <v>#DIV/0!</v>
      </c>
      <c r="AS86" s="393" t="e">
        <f t="shared" si="44"/>
        <v>#DIV/0!</v>
      </c>
      <c r="AT86" s="393" t="e">
        <f t="shared" si="45"/>
        <v>#DIV/0!</v>
      </c>
      <c r="AU86" s="393" t="e">
        <f t="shared" si="46"/>
        <v>#DIV/0!</v>
      </c>
      <c r="AV86" s="393" t="e">
        <f t="shared" si="47"/>
        <v>#DIV/0!</v>
      </c>
      <c r="AW86" s="393" t="e">
        <f t="shared" si="48"/>
        <v>#DIV/0!</v>
      </c>
      <c r="AX86" s="393" t="e">
        <f t="shared" si="49"/>
        <v>#DIV/0!</v>
      </c>
      <c r="AY86" s="393" t="e">
        <f t="shared" si="50"/>
        <v>#DIV/0!</v>
      </c>
      <c r="AZ86" s="393" t="e">
        <f t="shared" si="51"/>
        <v>#DIV/0!</v>
      </c>
      <c r="BA86" s="393" t="e">
        <f t="shared" si="52"/>
        <v>#DIV/0!</v>
      </c>
      <c r="BB86" s="393" t="e">
        <f t="shared" si="53"/>
        <v>#DIV/0!</v>
      </c>
    </row>
    <row r="87" spans="1:54" x14ac:dyDescent="0.25">
      <c r="A87" s="361" t="s">
        <v>618</v>
      </c>
      <c r="B87" s="480"/>
      <c r="C87" s="480"/>
      <c r="D87" s="480"/>
      <c r="E87" s="480"/>
      <c r="F87" s="480"/>
      <c r="G87" s="480"/>
      <c r="H87" s="480"/>
      <c r="I87" s="480"/>
      <c r="J87" s="480"/>
      <c r="K87" s="480"/>
      <c r="L87" s="480">
        <f>712/1200</f>
        <v>0.59330000000000005</v>
      </c>
      <c r="M87" s="480">
        <f>640/1200</f>
        <v>0.5333</v>
      </c>
      <c r="N87" s="480"/>
      <c r="O87" s="480"/>
      <c r="P87" s="480">
        <f>1016/1800</f>
        <v>0.56440000000000001</v>
      </c>
      <c r="Q87" s="480"/>
      <c r="R87" s="480"/>
      <c r="S87" s="480"/>
      <c r="T87" s="480"/>
      <c r="U87" s="480"/>
      <c r="V87" s="481"/>
      <c r="W87" s="481"/>
      <c r="X87" s="481"/>
      <c r="Y87" s="481"/>
      <c r="Z87" s="481"/>
      <c r="AA87" s="481"/>
      <c r="AB87" s="481"/>
      <c r="AC87" s="393" t="e">
        <f t="shared" si="28"/>
        <v>#DIV/0!</v>
      </c>
      <c r="AD87" s="393" t="e">
        <f t="shared" si="29"/>
        <v>#DIV/0!</v>
      </c>
      <c r="AE87" s="393" t="e">
        <f t="shared" si="30"/>
        <v>#DIV/0!</v>
      </c>
      <c r="AF87" s="393" t="e">
        <f t="shared" si="31"/>
        <v>#DIV/0!</v>
      </c>
      <c r="AG87" s="393" t="e">
        <f t="shared" si="32"/>
        <v>#DIV/0!</v>
      </c>
      <c r="AH87" s="393" t="e">
        <f t="shared" si="33"/>
        <v>#DIV/0!</v>
      </c>
      <c r="AI87" s="393" t="e">
        <f t="shared" si="34"/>
        <v>#DIV/0!</v>
      </c>
      <c r="AJ87" s="393" t="e">
        <f t="shared" si="35"/>
        <v>#DIV/0!</v>
      </c>
      <c r="AK87" s="393" t="e">
        <f t="shared" si="36"/>
        <v>#DIV/0!</v>
      </c>
      <c r="AL87" s="393" t="e">
        <f t="shared" si="37"/>
        <v>#DIV/0!</v>
      </c>
      <c r="AM87" s="393">
        <f t="shared" si="38"/>
        <v>-10.113</v>
      </c>
      <c r="AN87" s="393">
        <f t="shared" si="39"/>
        <v>-100</v>
      </c>
      <c r="AO87" s="393" t="e">
        <f t="shared" si="40"/>
        <v>#DIV/0!</v>
      </c>
      <c r="AP87" s="393" t="e">
        <f t="shared" si="41"/>
        <v>#DIV/0!</v>
      </c>
      <c r="AQ87" s="393">
        <f t="shared" si="42"/>
        <v>-100</v>
      </c>
      <c r="AR87" s="393" t="e">
        <f t="shared" si="43"/>
        <v>#DIV/0!</v>
      </c>
      <c r="AS87" s="393" t="e">
        <f t="shared" si="44"/>
        <v>#DIV/0!</v>
      </c>
      <c r="AT87" s="393" t="e">
        <f t="shared" si="45"/>
        <v>#DIV/0!</v>
      </c>
      <c r="AU87" s="393" t="e">
        <f t="shared" si="46"/>
        <v>#DIV/0!</v>
      </c>
      <c r="AV87" s="393" t="e">
        <f t="shared" si="47"/>
        <v>#DIV/0!</v>
      </c>
      <c r="AW87" s="393" t="e">
        <f t="shared" si="48"/>
        <v>#DIV/0!</v>
      </c>
      <c r="AX87" s="393" t="e">
        <f t="shared" si="49"/>
        <v>#DIV/0!</v>
      </c>
      <c r="AY87" s="393" t="e">
        <f t="shared" si="50"/>
        <v>#DIV/0!</v>
      </c>
      <c r="AZ87" s="393" t="e">
        <f t="shared" si="51"/>
        <v>#DIV/0!</v>
      </c>
      <c r="BA87" s="393" t="e">
        <f t="shared" si="52"/>
        <v>#DIV/0!</v>
      </c>
      <c r="BB87" s="393" t="e">
        <f t="shared" si="53"/>
        <v>#DIV/0!</v>
      </c>
    </row>
    <row r="88" spans="1:54" x14ac:dyDescent="0.25">
      <c r="A88" s="361" t="s">
        <v>1559</v>
      </c>
      <c r="B88" s="480"/>
      <c r="C88" s="480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>
        <f>629/1200</f>
        <v>0.5242</v>
      </c>
      <c r="P88" s="480">
        <f>848/1800</f>
        <v>0.47110000000000002</v>
      </c>
      <c r="Q88" s="480"/>
      <c r="R88" s="480">
        <f>975/1800</f>
        <v>0.54169999999999996</v>
      </c>
      <c r="S88" s="480"/>
      <c r="T88" s="480">
        <f>677/1200</f>
        <v>0.56420000000000003</v>
      </c>
      <c r="U88" s="480">
        <f>975/1800</f>
        <v>0.54169999999999996</v>
      </c>
      <c r="V88" s="480"/>
      <c r="W88" s="480"/>
      <c r="X88" s="480"/>
      <c r="Y88" s="480"/>
      <c r="Z88" s="480"/>
      <c r="AA88" s="480"/>
      <c r="AB88" s="480"/>
      <c r="AC88" s="393" t="e">
        <f t="shared" si="28"/>
        <v>#DIV/0!</v>
      </c>
      <c r="AD88" s="393" t="e">
        <f t="shared" si="29"/>
        <v>#DIV/0!</v>
      </c>
      <c r="AE88" s="393" t="e">
        <f t="shared" si="30"/>
        <v>#DIV/0!</v>
      </c>
      <c r="AF88" s="393" t="e">
        <f t="shared" si="31"/>
        <v>#DIV/0!</v>
      </c>
      <c r="AG88" s="393" t="e">
        <f t="shared" si="32"/>
        <v>#DIV/0!</v>
      </c>
      <c r="AH88" s="393" t="e">
        <f t="shared" si="33"/>
        <v>#DIV/0!</v>
      </c>
      <c r="AI88" s="393" t="e">
        <f t="shared" si="34"/>
        <v>#DIV/0!</v>
      </c>
      <c r="AJ88" s="393" t="e">
        <f t="shared" si="35"/>
        <v>#DIV/0!</v>
      </c>
      <c r="AK88" s="393" t="e">
        <f t="shared" si="36"/>
        <v>#DIV/0!</v>
      </c>
      <c r="AL88" s="393" t="e">
        <f t="shared" si="37"/>
        <v>#DIV/0!</v>
      </c>
      <c r="AM88" s="393" t="e">
        <f t="shared" si="38"/>
        <v>#DIV/0!</v>
      </c>
      <c r="AN88" s="393" t="e">
        <f t="shared" si="39"/>
        <v>#DIV/0!</v>
      </c>
      <c r="AO88" s="393" t="e">
        <f t="shared" si="40"/>
        <v>#DIV/0!</v>
      </c>
      <c r="AP88" s="393">
        <f t="shared" si="41"/>
        <v>-10.130000000000001</v>
      </c>
      <c r="AQ88" s="393">
        <f t="shared" si="42"/>
        <v>-100</v>
      </c>
      <c r="AR88" s="393" t="e">
        <f t="shared" si="43"/>
        <v>#DIV/0!</v>
      </c>
      <c r="AS88" s="393">
        <f t="shared" si="44"/>
        <v>-100</v>
      </c>
      <c r="AT88" s="393" t="e">
        <f t="shared" si="45"/>
        <v>#DIV/0!</v>
      </c>
      <c r="AU88" s="393">
        <f t="shared" si="46"/>
        <v>-3.988</v>
      </c>
      <c r="AV88" s="393">
        <f t="shared" si="47"/>
        <v>-100</v>
      </c>
      <c r="AW88" s="393" t="e">
        <f t="shared" si="48"/>
        <v>#DIV/0!</v>
      </c>
      <c r="AX88" s="393" t="e">
        <f t="shared" si="49"/>
        <v>#DIV/0!</v>
      </c>
      <c r="AY88" s="393" t="e">
        <f t="shared" si="50"/>
        <v>#DIV/0!</v>
      </c>
      <c r="AZ88" s="393" t="e">
        <f t="shared" si="51"/>
        <v>#DIV/0!</v>
      </c>
      <c r="BA88" s="393" t="e">
        <f t="shared" si="52"/>
        <v>#DIV/0!</v>
      </c>
      <c r="BB88" s="393" t="e">
        <f t="shared" si="53"/>
        <v>#DIV/0!</v>
      </c>
    </row>
    <row r="89" spans="1:54" x14ac:dyDescent="0.25">
      <c r="A89" s="361" t="s">
        <v>2367</v>
      </c>
      <c r="B89" s="480"/>
      <c r="C89" s="480"/>
      <c r="D89" s="480"/>
      <c r="E89" s="480"/>
      <c r="F89" s="480"/>
      <c r="G89" s="480"/>
      <c r="H89" s="480"/>
      <c r="I89" s="480"/>
      <c r="J89" s="480"/>
      <c r="K89" s="480"/>
      <c r="L89" s="480"/>
      <c r="M89" s="480"/>
      <c r="N89" s="480">
        <f>627/1200</f>
        <v>0.52249999999999996</v>
      </c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393" t="e">
        <f t="shared" si="28"/>
        <v>#DIV/0!</v>
      </c>
      <c r="AD89" s="393" t="e">
        <f t="shared" si="29"/>
        <v>#DIV/0!</v>
      </c>
      <c r="AE89" s="393" t="e">
        <f t="shared" si="30"/>
        <v>#DIV/0!</v>
      </c>
      <c r="AF89" s="393" t="e">
        <f t="shared" si="31"/>
        <v>#DIV/0!</v>
      </c>
      <c r="AG89" s="393" t="e">
        <f t="shared" si="32"/>
        <v>#DIV/0!</v>
      </c>
      <c r="AH89" s="393" t="e">
        <f t="shared" si="33"/>
        <v>#DIV/0!</v>
      </c>
      <c r="AI89" s="393" t="e">
        <f t="shared" si="34"/>
        <v>#DIV/0!</v>
      </c>
      <c r="AJ89" s="393" t="e">
        <f t="shared" si="35"/>
        <v>#DIV/0!</v>
      </c>
      <c r="AK89" s="393" t="e">
        <f t="shared" si="36"/>
        <v>#DIV/0!</v>
      </c>
      <c r="AL89" s="393" t="e">
        <f t="shared" si="37"/>
        <v>#DIV/0!</v>
      </c>
      <c r="AM89" s="393" t="e">
        <f t="shared" si="38"/>
        <v>#DIV/0!</v>
      </c>
      <c r="AN89" s="393" t="e">
        <f t="shared" si="39"/>
        <v>#DIV/0!</v>
      </c>
      <c r="AO89" s="393">
        <f t="shared" si="40"/>
        <v>-100</v>
      </c>
      <c r="AP89" s="393" t="e">
        <f t="shared" si="41"/>
        <v>#DIV/0!</v>
      </c>
      <c r="AQ89" s="393" t="e">
        <f t="shared" si="42"/>
        <v>#DIV/0!</v>
      </c>
      <c r="AR89" s="393" t="e">
        <f t="shared" si="43"/>
        <v>#DIV/0!</v>
      </c>
      <c r="AS89" s="393" t="e">
        <f t="shared" si="44"/>
        <v>#DIV/0!</v>
      </c>
      <c r="AT89" s="393" t="e">
        <f t="shared" si="45"/>
        <v>#DIV/0!</v>
      </c>
      <c r="AU89" s="393" t="e">
        <f t="shared" si="46"/>
        <v>#DIV/0!</v>
      </c>
      <c r="AV89" s="393" t="e">
        <f t="shared" si="47"/>
        <v>#DIV/0!</v>
      </c>
      <c r="AW89" s="393" t="e">
        <f t="shared" si="48"/>
        <v>#DIV/0!</v>
      </c>
      <c r="AX89" s="393" t="e">
        <f t="shared" si="49"/>
        <v>#DIV/0!</v>
      </c>
      <c r="AY89" s="393" t="e">
        <f t="shared" si="50"/>
        <v>#DIV/0!</v>
      </c>
      <c r="AZ89" s="393" t="e">
        <f t="shared" si="51"/>
        <v>#DIV/0!</v>
      </c>
      <c r="BA89" s="393" t="e">
        <f t="shared" si="52"/>
        <v>#DIV/0!</v>
      </c>
      <c r="BB89" s="393" t="e">
        <f t="shared" si="53"/>
        <v>#DIV/0!</v>
      </c>
    </row>
    <row r="90" spans="1:54" x14ac:dyDescent="0.25">
      <c r="A90" s="361" t="s">
        <v>962</v>
      </c>
      <c r="B90" s="480"/>
      <c r="C90" s="480"/>
      <c r="D90" s="480"/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0"/>
      <c r="U90" s="480"/>
      <c r="V90" s="480"/>
      <c r="W90" s="480">
        <f>792/1200</f>
        <v>0.66</v>
      </c>
      <c r="X90" s="480"/>
      <c r="Y90" s="480"/>
      <c r="Z90" s="480"/>
      <c r="AA90" s="480"/>
      <c r="AB90" s="480"/>
      <c r="AC90" s="393" t="e">
        <f t="shared" si="28"/>
        <v>#DIV/0!</v>
      </c>
      <c r="AD90" s="393" t="e">
        <f t="shared" si="29"/>
        <v>#DIV/0!</v>
      </c>
      <c r="AE90" s="393" t="e">
        <f t="shared" si="30"/>
        <v>#DIV/0!</v>
      </c>
      <c r="AF90" s="393" t="e">
        <f t="shared" si="31"/>
        <v>#DIV/0!</v>
      </c>
      <c r="AG90" s="393" t="e">
        <f t="shared" si="32"/>
        <v>#DIV/0!</v>
      </c>
      <c r="AH90" s="393" t="e">
        <f t="shared" si="33"/>
        <v>#DIV/0!</v>
      </c>
      <c r="AI90" s="393" t="e">
        <f t="shared" si="34"/>
        <v>#DIV/0!</v>
      </c>
      <c r="AJ90" s="393" t="e">
        <f t="shared" si="35"/>
        <v>#DIV/0!</v>
      </c>
      <c r="AK90" s="393" t="e">
        <f t="shared" si="36"/>
        <v>#DIV/0!</v>
      </c>
      <c r="AL90" s="393" t="e">
        <f t="shared" si="37"/>
        <v>#DIV/0!</v>
      </c>
      <c r="AM90" s="393" t="e">
        <f t="shared" si="38"/>
        <v>#DIV/0!</v>
      </c>
      <c r="AN90" s="393" t="e">
        <f t="shared" si="39"/>
        <v>#DIV/0!</v>
      </c>
      <c r="AO90" s="393" t="e">
        <f t="shared" si="40"/>
        <v>#DIV/0!</v>
      </c>
      <c r="AP90" s="393" t="e">
        <f t="shared" si="41"/>
        <v>#DIV/0!</v>
      </c>
      <c r="AQ90" s="393" t="e">
        <f t="shared" si="42"/>
        <v>#DIV/0!</v>
      </c>
      <c r="AR90" s="393" t="e">
        <f t="shared" si="43"/>
        <v>#DIV/0!</v>
      </c>
      <c r="AS90" s="393" t="e">
        <f t="shared" si="44"/>
        <v>#DIV/0!</v>
      </c>
      <c r="AT90" s="393" t="e">
        <f t="shared" si="45"/>
        <v>#DIV/0!</v>
      </c>
      <c r="AU90" s="393" t="e">
        <f t="shared" si="46"/>
        <v>#DIV/0!</v>
      </c>
      <c r="AV90" s="393" t="e">
        <f t="shared" si="47"/>
        <v>#DIV/0!</v>
      </c>
      <c r="AW90" s="393" t="e">
        <f t="shared" si="48"/>
        <v>#DIV/0!</v>
      </c>
      <c r="AX90" s="393">
        <f t="shared" si="49"/>
        <v>-100</v>
      </c>
      <c r="AY90" s="393" t="e">
        <f t="shared" si="50"/>
        <v>#DIV/0!</v>
      </c>
      <c r="AZ90" s="393" t="e">
        <f t="shared" si="51"/>
        <v>#DIV/0!</v>
      </c>
      <c r="BA90" s="393" t="e">
        <f t="shared" si="52"/>
        <v>#DIV/0!</v>
      </c>
      <c r="BB90" s="393" t="e">
        <f t="shared" si="53"/>
        <v>#DIV/0!</v>
      </c>
    </row>
    <row r="91" spans="1:54" x14ac:dyDescent="0.25">
      <c r="A91" s="361" t="s">
        <v>951</v>
      </c>
      <c r="B91" s="480"/>
      <c r="C91" s="480"/>
      <c r="D91" s="480"/>
      <c r="E91" s="480"/>
      <c r="F91" s="480"/>
      <c r="G91" s="480"/>
      <c r="H91" s="480"/>
      <c r="I91" s="480"/>
      <c r="J91" s="480"/>
      <c r="K91" s="480"/>
      <c r="L91" s="480"/>
      <c r="M91" s="480"/>
      <c r="N91" s="480"/>
      <c r="O91" s="480"/>
      <c r="P91" s="480"/>
      <c r="Q91" s="480"/>
      <c r="R91" s="480"/>
      <c r="S91" s="480"/>
      <c r="T91" s="480"/>
      <c r="U91" s="480"/>
      <c r="V91" s="481"/>
      <c r="W91" s="481">
        <f>900/1200</f>
        <v>0.75</v>
      </c>
      <c r="X91" s="481">
        <f>1297/1800</f>
        <v>0.72060000000000002</v>
      </c>
      <c r="Y91" s="481">
        <f>1287/1800</f>
        <v>0.71499999999999997</v>
      </c>
      <c r="Z91" s="481"/>
      <c r="AA91" s="481"/>
      <c r="AB91" s="481"/>
      <c r="AC91" s="393" t="e">
        <f t="shared" si="28"/>
        <v>#DIV/0!</v>
      </c>
      <c r="AD91" s="393" t="e">
        <f t="shared" si="29"/>
        <v>#DIV/0!</v>
      </c>
      <c r="AE91" s="393" t="e">
        <f t="shared" si="30"/>
        <v>#DIV/0!</v>
      </c>
      <c r="AF91" s="393" t="e">
        <f t="shared" si="31"/>
        <v>#DIV/0!</v>
      </c>
      <c r="AG91" s="393" t="e">
        <f t="shared" si="32"/>
        <v>#DIV/0!</v>
      </c>
      <c r="AH91" s="393" t="e">
        <f t="shared" si="33"/>
        <v>#DIV/0!</v>
      </c>
      <c r="AI91" s="393" t="e">
        <f t="shared" si="34"/>
        <v>#DIV/0!</v>
      </c>
      <c r="AJ91" s="393" t="e">
        <f t="shared" si="35"/>
        <v>#DIV/0!</v>
      </c>
      <c r="AK91" s="393" t="e">
        <f t="shared" si="36"/>
        <v>#DIV/0!</v>
      </c>
      <c r="AL91" s="393" t="e">
        <f t="shared" si="37"/>
        <v>#DIV/0!</v>
      </c>
      <c r="AM91" s="393" t="e">
        <f t="shared" si="38"/>
        <v>#DIV/0!</v>
      </c>
      <c r="AN91" s="393" t="e">
        <f t="shared" si="39"/>
        <v>#DIV/0!</v>
      </c>
      <c r="AO91" s="393" t="e">
        <f t="shared" si="40"/>
        <v>#DIV/0!</v>
      </c>
      <c r="AP91" s="393" t="e">
        <f t="shared" si="41"/>
        <v>#DIV/0!</v>
      </c>
      <c r="AQ91" s="393" t="e">
        <f t="shared" si="42"/>
        <v>#DIV/0!</v>
      </c>
      <c r="AR91" s="393" t="e">
        <f t="shared" si="43"/>
        <v>#DIV/0!</v>
      </c>
      <c r="AS91" s="393" t="e">
        <f t="shared" si="44"/>
        <v>#DIV/0!</v>
      </c>
      <c r="AT91" s="393" t="e">
        <f t="shared" si="45"/>
        <v>#DIV/0!</v>
      </c>
      <c r="AU91" s="393" t="e">
        <f t="shared" si="46"/>
        <v>#DIV/0!</v>
      </c>
      <c r="AV91" s="393" t="e">
        <f t="shared" si="47"/>
        <v>#DIV/0!</v>
      </c>
      <c r="AW91" s="393" t="e">
        <f t="shared" si="48"/>
        <v>#DIV/0!</v>
      </c>
      <c r="AX91" s="393">
        <f t="shared" si="49"/>
        <v>-3.92</v>
      </c>
      <c r="AY91" s="393">
        <f t="shared" si="50"/>
        <v>-0.77700000000000002</v>
      </c>
      <c r="AZ91" s="393">
        <f t="shared" si="51"/>
        <v>-100</v>
      </c>
      <c r="BA91" s="393" t="e">
        <f t="shared" si="52"/>
        <v>#DIV/0!</v>
      </c>
      <c r="BB91" s="393" t="e">
        <f t="shared" si="53"/>
        <v>#DIV/0!</v>
      </c>
    </row>
    <row r="92" spans="1:54" x14ac:dyDescent="0.25">
      <c r="A92" s="361" t="s">
        <v>1194</v>
      </c>
      <c r="B92" s="480"/>
      <c r="C92" s="480"/>
      <c r="D92" s="480"/>
      <c r="E92" s="480"/>
      <c r="F92" s="480"/>
      <c r="G92" s="480"/>
      <c r="H92" s="480"/>
      <c r="I92" s="480"/>
      <c r="J92" s="480"/>
      <c r="K92" s="480"/>
      <c r="L92" s="480"/>
      <c r="M92" s="480">
        <f>592/1200</f>
        <v>0.49330000000000002</v>
      </c>
      <c r="N92" s="480"/>
      <c r="O92" s="480"/>
      <c r="P92" s="480"/>
      <c r="Q92" s="480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393" t="e">
        <f t="shared" si="28"/>
        <v>#DIV/0!</v>
      </c>
      <c r="AD92" s="393" t="e">
        <f t="shared" si="29"/>
        <v>#DIV/0!</v>
      </c>
      <c r="AE92" s="393" t="e">
        <f t="shared" si="30"/>
        <v>#DIV/0!</v>
      </c>
      <c r="AF92" s="393" t="e">
        <f t="shared" si="31"/>
        <v>#DIV/0!</v>
      </c>
      <c r="AG92" s="393" t="e">
        <f t="shared" si="32"/>
        <v>#DIV/0!</v>
      </c>
      <c r="AH92" s="393" t="e">
        <f t="shared" si="33"/>
        <v>#DIV/0!</v>
      </c>
      <c r="AI92" s="393" t="e">
        <f t="shared" si="34"/>
        <v>#DIV/0!</v>
      </c>
      <c r="AJ92" s="393" t="e">
        <f t="shared" si="35"/>
        <v>#DIV/0!</v>
      </c>
      <c r="AK92" s="393" t="e">
        <f t="shared" si="36"/>
        <v>#DIV/0!</v>
      </c>
      <c r="AL92" s="393" t="e">
        <f t="shared" si="37"/>
        <v>#DIV/0!</v>
      </c>
      <c r="AM92" s="393" t="e">
        <f t="shared" si="38"/>
        <v>#DIV/0!</v>
      </c>
      <c r="AN92" s="393">
        <f t="shared" si="39"/>
        <v>-100</v>
      </c>
      <c r="AO92" s="393" t="e">
        <f t="shared" si="40"/>
        <v>#DIV/0!</v>
      </c>
      <c r="AP92" s="393" t="e">
        <f t="shared" si="41"/>
        <v>#DIV/0!</v>
      </c>
      <c r="AQ92" s="393" t="e">
        <f t="shared" si="42"/>
        <v>#DIV/0!</v>
      </c>
      <c r="AR92" s="393" t="e">
        <f t="shared" si="43"/>
        <v>#DIV/0!</v>
      </c>
      <c r="AS92" s="393" t="e">
        <f t="shared" si="44"/>
        <v>#DIV/0!</v>
      </c>
      <c r="AT92" s="393" t="e">
        <f t="shared" si="45"/>
        <v>#DIV/0!</v>
      </c>
      <c r="AU92" s="393" t="e">
        <f t="shared" si="46"/>
        <v>#DIV/0!</v>
      </c>
      <c r="AV92" s="393" t="e">
        <f t="shared" si="47"/>
        <v>#DIV/0!</v>
      </c>
      <c r="AW92" s="393" t="e">
        <f t="shared" si="48"/>
        <v>#DIV/0!</v>
      </c>
      <c r="AX92" s="393" t="e">
        <f t="shared" si="49"/>
        <v>#DIV/0!</v>
      </c>
      <c r="AY92" s="393" t="e">
        <f t="shared" si="50"/>
        <v>#DIV/0!</v>
      </c>
      <c r="AZ92" s="393" t="e">
        <f t="shared" si="51"/>
        <v>#DIV/0!</v>
      </c>
      <c r="BA92" s="393" t="e">
        <f t="shared" si="52"/>
        <v>#DIV/0!</v>
      </c>
      <c r="BB92" s="393" t="e">
        <f t="shared" si="53"/>
        <v>#DIV/0!</v>
      </c>
    </row>
    <row r="93" spans="1:54" x14ac:dyDescent="0.25">
      <c r="A93" s="360" t="s">
        <v>2620</v>
      </c>
      <c r="B93" s="480"/>
      <c r="C93" s="480"/>
      <c r="D93" s="480"/>
      <c r="E93" s="480"/>
      <c r="F93" s="480"/>
      <c r="G93" s="480">
        <f>934/2400</f>
        <v>0.38919999999999999</v>
      </c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393" t="e">
        <f t="shared" si="28"/>
        <v>#DIV/0!</v>
      </c>
      <c r="AD93" s="393" t="e">
        <f t="shared" si="29"/>
        <v>#DIV/0!</v>
      </c>
      <c r="AE93" s="393" t="e">
        <f t="shared" si="30"/>
        <v>#DIV/0!</v>
      </c>
      <c r="AF93" s="393" t="e">
        <f t="shared" si="31"/>
        <v>#DIV/0!</v>
      </c>
      <c r="AG93" s="393" t="e">
        <f t="shared" si="32"/>
        <v>#DIV/0!</v>
      </c>
      <c r="AH93" s="393">
        <f t="shared" si="33"/>
        <v>-100</v>
      </c>
      <c r="AI93" s="393" t="e">
        <f t="shared" si="34"/>
        <v>#DIV/0!</v>
      </c>
      <c r="AJ93" s="393" t="e">
        <f t="shared" si="35"/>
        <v>#DIV/0!</v>
      </c>
      <c r="AK93" s="393" t="e">
        <f t="shared" si="36"/>
        <v>#DIV/0!</v>
      </c>
      <c r="AL93" s="393" t="e">
        <f t="shared" si="37"/>
        <v>#DIV/0!</v>
      </c>
      <c r="AM93" s="393" t="e">
        <f t="shared" si="38"/>
        <v>#DIV/0!</v>
      </c>
      <c r="AN93" s="393" t="e">
        <f t="shared" si="39"/>
        <v>#DIV/0!</v>
      </c>
      <c r="AO93" s="393" t="e">
        <f t="shared" si="40"/>
        <v>#DIV/0!</v>
      </c>
      <c r="AP93" s="393" t="e">
        <f t="shared" si="41"/>
        <v>#DIV/0!</v>
      </c>
      <c r="AQ93" s="393" t="e">
        <f t="shared" si="42"/>
        <v>#DIV/0!</v>
      </c>
      <c r="AR93" s="393" t="e">
        <f t="shared" si="43"/>
        <v>#DIV/0!</v>
      </c>
      <c r="AS93" s="393" t="e">
        <f t="shared" si="44"/>
        <v>#DIV/0!</v>
      </c>
      <c r="AT93" s="393" t="e">
        <f t="shared" si="45"/>
        <v>#DIV/0!</v>
      </c>
      <c r="AU93" s="393" t="e">
        <f t="shared" si="46"/>
        <v>#DIV/0!</v>
      </c>
      <c r="AV93" s="393" t="e">
        <f t="shared" si="47"/>
        <v>#DIV/0!</v>
      </c>
      <c r="AW93" s="393" t="e">
        <f t="shared" si="48"/>
        <v>#DIV/0!</v>
      </c>
      <c r="AX93" s="393" t="e">
        <f t="shared" si="49"/>
        <v>#DIV/0!</v>
      </c>
      <c r="AY93" s="393" t="e">
        <f t="shared" si="50"/>
        <v>#DIV/0!</v>
      </c>
      <c r="AZ93" s="393" t="e">
        <f t="shared" si="51"/>
        <v>#DIV/0!</v>
      </c>
      <c r="BA93" s="393" t="e">
        <f t="shared" si="52"/>
        <v>#DIV/0!</v>
      </c>
      <c r="BB93" s="393" t="e">
        <f t="shared" si="53"/>
        <v>#DIV/0!</v>
      </c>
    </row>
    <row r="94" spans="1:54" x14ac:dyDescent="0.25">
      <c r="A94" s="361" t="s">
        <v>3306</v>
      </c>
      <c r="B94" s="480"/>
      <c r="C94" s="480"/>
      <c r="D94" s="480"/>
      <c r="E94" s="480"/>
      <c r="F94" s="480"/>
      <c r="G94" s="480"/>
      <c r="H94" s="480"/>
      <c r="I94" s="480">
        <f>557/1200</f>
        <v>0.4642</v>
      </c>
      <c r="J94" s="480"/>
      <c r="K94" s="480"/>
      <c r="L94" s="480"/>
      <c r="M94" s="480"/>
      <c r="N94" s="480"/>
      <c r="O94" s="480"/>
      <c r="P94" s="480"/>
      <c r="Q94" s="480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393" t="e">
        <f t="shared" si="28"/>
        <v>#DIV/0!</v>
      </c>
      <c r="AD94" s="393" t="e">
        <f t="shared" si="29"/>
        <v>#DIV/0!</v>
      </c>
      <c r="AE94" s="393" t="e">
        <f t="shared" si="30"/>
        <v>#DIV/0!</v>
      </c>
      <c r="AF94" s="393" t="e">
        <f t="shared" si="31"/>
        <v>#DIV/0!</v>
      </c>
      <c r="AG94" s="393" t="e">
        <f t="shared" si="32"/>
        <v>#DIV/0!</v>
      </c>
      <c r="AH94" s="393" t="e">
        <f t="shared" si="33"/>
        <v>#DIV/0!</v>
      </c>
      <c r="AI94" s="393" t="e">
        <f t="shared" si="34"/>
        <v>#DIV/0!</v>
      </c>
      <c r="AJ94" s="393">
        <f t="shared" si="35"/>
        <v>-100</v>
      </c>
      <c r="AK94" s="393" t="e">
        <f t="shared" si="36"/>
        <v>#DIV/0!</v>
      </c>
      <c r="AL94" s="393" t="e">
        <f t="shared" si="37"/>
        <v>#DIV/0!</v>
      </c>
      <c r="AM94" s="393" t="e">
        <f t="shared" si="38"/>
        <v>#DIV/0!</v>
      </c>
      <c r="AN94" s="393" t="e">
        <f t="shared" si="39"/>
        <v>#DIV/0!</v>
      </c>
      <c r="AO94" s="393" t="e">
        <f t="shared" si="40"/>
        <v>#DIV/0!</v>
      </c>
      <c r="AP94" s="393" t="e">
        <f t="shared" si="41"/>
        <v>#DIV/0!</v>
      </c>
      <c r="AQ94" s="393" t="e">
        <f t="shared" si="42"/>
        <v>#DIV/0!</v>
      </c>
      <c r="AR94" s="393" t="e">
        <f t="shared" si="43"/>
        <v>#DIV/0!</v>
      </c>
      <c r="AS94" s="393" t="e">
        <f t="shared" si="44"/>
        <v>#DIV/0!</v>
      </c>
      <c r="AT94" s="393" t="e">
        <f t="shared" si="45"/>
        <v>#DIV/0!</v>
      </c>
      <c r="AU94" s="393" t="e">
        <f t="shared" si="46"/>
        <v>#DIV/0!</v>
      </c>
      <c r="AV94" s="393" t="e">
        <f t="shared" si="47"/>
        <v>#DIV/0!</v>
      </c>
      <c r="AW94" s="393" t="e">
        <f t="shared" si="48"/>
        <v>#DIV/0!</v>
      </c>
      <c r="AX94" s="393" t="e">
        <f t="shared" si="49"/>
        <v>#DIV/0!</v>
      </c>
      <c r="AY94" s="393" t="e">
        <f t="shared" si="50"/>
        <v>#DIV/0!</v>
      </c>
      <c r="AZ94" s="393" t="e">
        <f t="shared" si="51"/>
        <v>#DIV/0!</v>
      </c>
      <c r="BA94" s="393" t="e">
        <f t="shared" si="52"/>
        <v>#DIV/0!</v>
      </c>
      <c r="BB94" s="393" t="e">
        <f t="shared" si="53"/>
        <v>#DIV/0!</v>
      </c>
    </row>
    <row r="95" spans="1:54" x14ac:dyDescent="0.25">
      <c r="A95" s="361" t="s">
        <v>4353</v>
      </c>
      <c r="B95" s="480"/>
      <c r="C95" s="480"/>
      <c r="D95" s="480"/>
      <c r="E95" s="480"/>
      <c r="F95" s="480"/>
      <c r="G95" s="480"/>
      <c r="H95" s="480"/>
      <c r="I95" s="480"/>
      <c r="J95" s="480"/>
      <c r="K95" s="480"/>
      <c r="L95" s="480"/>
      <c r="M95" s="480"/>
      <c r="N95" s="480"/>
      <c r="O95" s="480"/>
      <c r="P95" s="480"/>
      <c r="Q95" s="480"/>
      <c r="R95" s="480"/>
      <c r="S95" s="480"/>
      <c r="T95" s="480"/>
      <c r="U95" s="480"/>
      <c r="V95" s="480"/>
      <c r="W95" s="480"/>
      <c r="X95" s="480"/>
      <c r="Y95" s="480">
        <f>1120/1800</f>
        <v>0.62219999999999998</v>
      </c>
      <c r="Z95" s="480"/>
      <c r="AA95" s="480"/>
      <c r="AB95" s="480"/>
      <c r="AC95" s="393" t="e">
        <f t="shared" si="28"/>
        <v>#DIV/0!</v>
      </c>
      <c r="AD95" s="393" t="e">
        <f t="shared" si="29"/>
        <v>#DIV/0!</v>
      </c>
      <c r="AE95" s="393" t="e">
        <f t="shared" si="30"/>
        <v>#DIV/0!</v>
      </c>
      <c r="AF95" s="393" t="e">
        <f t="shared" si="31"/>
        <v>#DIV/0!</v>
      </c>
      <c r="AG95" s="393" t="e">
        <f t="shared" si="32"/>
        <v>#DIV/0!</v>
      </c>
      <c r="AH95" s="393" t="e">
        <f t="shared" si="33"/>
        <v>#DIV/0!</v>
      </c>
      <c r="AI95" s="393" t="e">
        <f t="shared" si="34"/>
        <v>#DIV/0!</v>
      </c>
      <c r="AJ95" s="393" t="e">
        <f t="shared" si="35"/>
        <v>#DIV/0!</v>
      </c>
      <c r="AK95" s="393" t="e">
        <f t="shared" si="36"/>
        <v>#DIV/0!</v>
      </c>
      <c r="AL95" s="393" t="e">
        <f t="shared" si="37"/>
        <v>#DIV/0!</v>
      </c>
      <c r="AM95" s="393" t="e">
        <f t="shared" si="38"/>
        <v>#DIV/0!</v>
      </c>
      <c r="AN95" s="393" t="e">
        <f t="shared" si="39"/>
        <v>#DIV/0!</v>
      </c>
      <c r="AO95" s="393" t="e">
        <f t="shared" si="40"/>
        <v>#DIV/0!</v>
      </c>
      <c r="AP95" s="393" t="e">
        <f t="shared" si="41"/>
        <v>#DIV/0!</v>
      </c>
      <c r="AQ95" s="393" t="e">
        <f t="shared" si="42"/>
        <v>#DIV/0!</v>
      </c>
      <c r="AR95" s="393" t="e">
        <f t="shared" si="43"/>
        <v>#DIV/0!</v>
      </c>
      <c r="AS95" s="393" t="e">
        <f t="shared" si="44"/>
        <v>#DIV/0!</v>
      </c>
      <c r="AT95" s="393" t="e">
        <f t="shared" si="45"/>
        <v>#DIV/0!</v>
      </c>
      <c r="AU95" s="393" t="e">
        <f t="shared" si="46"/>
        <v>#DIV/0!</v>
      </c>
      <c r="AV95" s="393" t="e">
        <f t="shared" si="47"/>
        <v>#DIV/0!</v>
      </c>
      <c r="AW95" s="393" t="e">
        <f t="shared" si="48"/>
        <v>#DIV/0!</v>
      </c>
      <c r="AX95" s="393" t="e">
        <f t="shared" si="49"/>
        <v>#DIV/0!</v>
      </c>
      <c r="AY95" s="393" t="e">
        <f t="shared" si="50"/>
        <v>#DIV/0!</v>
      </c>
      <c r="AZ95" s="393">
        <f t="shared" si="51"/>
        <v>-100</v>
      </c>
      <c r="BA95" s="393" t="e">
        <f t="shared" si="52"/>
        <v>#DIV/0!</v>
      </c>
      <c r="BB95" s="393" t="e">
        <f t="shared" si="53"/>
        <v>#DIV/0!</v>
      </c>
    </row>
    <row r="96" spans="1:54" x14ac:dyDescent="0.25">
      <c r="A96" s="355" t="s">
        <v>1041</v>
      </c>
      <c r="B96" s="480"/>
      <c r="C96" s="480"/>
      <c r="D96" s="480"/>
      <c r="E96" s="480"/>
      <c r="F96" s="480"/>
      <c r="G96" s="480"/>
      <c r="H96" s="480"/>
      <c r="I96" s="480"/>
      <c r="J96" s="480">
        <f>608/1200</f>
        <v>0.50670000000000004</v>
      </c>
      <c r="K96" s="480">
        <f>702/1200</f>
        <v>0.58499999999999996</v>
      </c>
      <c r="L96" s="480">
        <f>695/1200</f>
        <v>0.57920000000000005</v>
      </c>
      <c r="M96" s="480"/>
      <c r="N96" s="480"/>
      <c r="O96" s="480"/>
      <c r="P96" s="480"/>
      <c r="Q96" s="480"/>
      <c r="R96" s="480"/>
      <c r="S96" s="480"/>
      <c r="T96" s="480"/>
      <c r="U96" s="480"/>
      <c r="V96" s="481"/>
      <c r="W96" s="481"/>
      <c r="X96" s="481"/>
      <c r="Y96" s="481"/>
      <c r="Z96" s="481"/>
      <c r="AA96" s="481"/>
      <c r="AB96" s="481"/>
      <c r="AC96" s="393" t="e">
        <f t="shared" si="28"/>
        <v>#DIV/0!</v>
      </c>
      <c r="AD96" s="393" t="e">
        <f t="shared" si="29"/>
        <v>#DIV/0!</v>
      </c>
      <c r="AE96" s="393" t="e">
        <f t="shared" si="30"/>
        <v>#DIV/0!</v>
      </c>
      <c r="AF96" s="393" t="e">
        <f t="shared" si="31"/>
        <v>#DIV/0!</v>
      </c>
      <c r="AG96" s="393" t="e">
        <f t="shared" si="32"/>
        <v>#DIV/0!</v>
      </c>
      <c r="AH96" s="393" t="e">
        <f t="shared" si="33"/>
        <v>#DIV/0!</v>
      </c>
      <c r="AI96" s="393" t="e">
        <f t="shared" si="34"/>
        <v>#DIV/0!</v>
      </c>
      <c r="AJ96" s="393" t="e">
        <f t="shared" si="35"/>
        <v>#DIV/0!</v>
      </c>
      <c r="AK96" s="393">
        <f t="shared" si="36"/>
        <v>15.452999999999999</v>
      </c>
      <c r="AL96" s="393">
        <f t="shared" si="37"/>
        <v>-0.99099999999999999</v>
      </c>
      <c r="AM96" s="393">
        <f t="shared" si="38"/>
        <v>-100</v>
      </c>
      <c r="AN96" s="393" t="e">
        <f t="shared" si="39"/>
        <v>#DIV/0!</v>
      </c>
      <c r="AO96" s="393" t="e">
        <f t="shared" si="40"/>
        <v>#DIV/0!</v>
      </c>
      <c r="AP96" s="393" t="e">
        <f t="shared" si="41"/>
        <v>#DIV/0!</v>
      </c>
      <c r="AQ96" s="393" t="e">
        <f t="shared" si="42"/>
        <v>#DIV/0!</v>
      </c>
      <c r="AR96" s="393" t="e">
        <f t="shared" si="43"/>
        <v>#DIV/0!</v>
      </c>
      <c r="AS96" s="393" t="e">
        <f t="shared" si="44"/>
        <v>#DIV/0!</v>
      </c>
      <c r="AT96" s="393" t="e">
        <f t="shared" si="45"/>
        <v>#DIV/0!</v>
      </c>
      <c r="AU96" s="393" t="e">
        <f t="shared" si="46"/>
        <v>#DIV/0!</v>
      </c>
      <c r="AV96" s="393" t="e">
        <f t="shared" si="47"/>
        <v>#DIV/0!</v>
      </c>
      <c r="AW96" s="393" t="e">
        <f t="shared" si="48"/>
        <v>#DIV/0!</v>
      </c>
      <c r="AX96" s="393" t="e">
        <f t="shared" si="49"/>
        <v>#DIV/0!</v>
      </c>
      <c r="AY96" s="393" t="e">
        <f t="shared" si="50"/>
        <v>#DIV/0!</v>
      </c>
      <c r="AZ96" s="393" t="e">
        <f t="shared" si="51"/>
        <v>#DIV/0!</v>
      </c>
      <c r="BA96" s="393" t="e">
        <f t="shared" si="52"/>
        <v>#DIV/0!</v>
      </c>
      <c r="BB96" s="393" t="e">
        <f t="shared" si="53"/>
        <v>#DIV/0!</v>
      </c>
    </row>
    <row r="97" spans="1:54" x14ac:dyDescent="0.25">
      <c r="A97" s="565" t="s">
        <v>1209</v>
      </c>
      <c r="B97" s="480"/>
      <c r="C97" s="480"/>
      <c r="D97" s="480">
        <f>1157/1800</f>
        <v>0.64280000000000004</v>
      </c>
      <c r="E97" s="480"/>
      <c r="F97" s="480"/>
      <c r="G97" s="480"/>
      <c r="H97" s="480"/>
      <c r="I97" s="480"/>
      <c r="J97" s="480"/>
      <c r="K97" s="480"/>
      <c r="L97" s="480"/>
      <c r="M97" s="480"/>
      <c r="N97" s="480"/>
      <c r="O97" s="480"/>
      <c r="P97" s="480"/>
      <c r="Q97" s="480"/>
      <c r="R97" s="480"/>
      <c r="S97" s="480"/>
      <c r="T97" s="480"/>
      <c r="U97" s="480"/>
      <c r="V97" s="480"/>
      <c r="W97" s="480"/>
      <c r="X97" s="480"/>
      <c r="Y97" s="480"/>
      <c r="Z97" s="480"/>
      <c r="AA97" s="480"/>
      <c r="AB97" s="480"/>
      <c r="AC97" s="393" t="e">
        <f t="shared" si="28"/>
        <v>#DIV/0!</v>
      </c>
      <c r="AD97" s="393" t="e">
        <f t="shared" si="29"/>
        <v>#DIV/0!</v>
      </c>
      <c r="AE97" s="393">
        <f t="shared" si="30"/>
        <v>-100</v>
      </c>
      <c r="AF97" s="393" t="e">
        <f t="shared" si="31"/>
        <v>#DIV/0!</v>
      </c>
      <c r="AG97" s="393" t="e">
        <f t="shared" si="32"/>
        <v>#DIV/0!</v>
      </c>
      <c r="AH97" s="393" t="e">
        <f t="shared" si="33"/>
        <v>#DIV/0!</v>
      </c>
      <c r="AI97" s="393" t="e">
        <f t="shared" si="34"/>
        <v>#DIV/0!</v>
      </c>
      <c r="AJ97" s="393" t="e">
        <f t="shared" si="35"/>
        <v>#DIV/0!</v>
      </c>
      <c r="AK97" s="393" t="e">
        <f t="shared" si="36"/>
        <v>#DIV/0!</v>
      </c>
      <c r="AL97" s="393" t="e">
        <f t="shared" si="37"/>
        <v>#DIV/0!</v>
      </c>
      <c r="AM97" s="393" t="e">
        <f t="shared" si="38"/>
        <v>#DIV/0!</v>
      </c>
      <c r="AN97" s="393" t="e">
        <f t="shared" si="39"/>
        <v>#DIV/0!</v>
      </c>
      <c r="AO97" s="393" t="e">
        <f t="shared" si="40"/>
        <v>#DIV/0!</v>
      </c>
      <c r="AP97" s="393" t="e">
        <f t="shared" si="41"/>
        <v>#DIV/0!</v>
      </c>
      <c r="AQ97" s="393" t="e">
        <f t="shared" si="42"/>
        <v>#DIV/0!</v>
      </c>
      <c r="AR97" s="393" t="e">
        <f t="shared" si="43"/>
        <v>#DIV/0!</v>
      </c>
      <c r="AS97" s="393" t="e">
        <f t="shared" si="44"/>
        <v>#DIV/0!</v>
      </c>
      <c r="AT97" s="393" t="e">
        <f t="shared" si="45"/>
        <v>#DIV/0!</v>
      </c>
      <c r="AU97" s="393" t="e">
        <f t="shared" si="46"/>
        <v>#DIV/0!</v>
      </c>
      <c r="AV97" s="393" t="e">
        <f t="shared" si="47"/>
        <v>#DIV/0!</v>
      </c>
      <c r="AW97" s="393" t="e">
        <f t="shared" si="48"/>
        <v>#DIV/0!</v>
      </c>
      <c r="AX97" s="393" t="e">
        <f t="shared" si="49"/>
        <v>#DIV/0!</v>
      </c>
      <c r="AY97" s="393" t="e">
        <f t="shared" si="50"/>
        <v>#DIV/0!</v>
      </c>
      <c r="AZ97" s="393" t="e">
        <f t="shared" si="51"/>
        <v>#DIV/0!</v>
      </c>
      <c r="BA97" s="393" t="e">
        <f t="shared" si="52"/>
        <v>#DIV/0!</v>
      </c>
      <c r="BB97" s="393" t="e">
        <f t="shared" si="53"/>
        <v>#DIV/0!</v>
      </c>
    </row>
    <row r="98" spans="1:54" x14ac:dyDescent="0.25">
      <c r="A98" s="360" t="s">
        <v>3571</v>
      </c>
      <c r="B98" s="480"/>
      <c r="C98" s="480"/>
      <c r="D98" s="480"/>
      <c r="E98" s="480">
        <f>1207/1800</f>
        <v>0.67059999999999997</v>
      </c>
      <c r="F98" s="480"/>
      <c r="G98" s="480"/>
      <c r="H98" s="480"/>
      <c r="I98" s="480"/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393" t="e">
        <f t="shared" si="28"/>
        <v>#DIV/0!</v>
      </c>
      <c r="AD98" s="393" t="e">
        <f t="shared" si="29"/>
        <v>#DIV/0!</v>
      </c>
      <c r="AE98" s="393" t="e">
        <f t="shared" si="30"/>
        <v>#DIV/0!</v>
      </c>
      <c r="AF98" s="393">
        <f t="shared" si="31"/>
        <v>-100</v>
      </c>
      <c r="AG98" s="393" t="e">
        <f t="shared" si="32"/>
        <v>#DIV/0!</v>
      </c>
      <c r="AH98" s="393" t="e">
        <f t="shared" si="33"/>
        <v>#DIV/0!</v>
      </c>
      <c r="AI98" s="393" t="e">
        <f t="shared" si="34"/>
        <v>#DIV/0!</v>
      </c>
      <c r="AJ98" s="393" t="e">
        <f t="shared" si="35"/>
        <v>#DIV/0!</v>
      </c>
      <c r="AK98" s="393" t="e">
        <f t="shared" si="36"/>
        <v>#DIV/0!</v>
      </c>
      <c r="AL98" s="393" t="e">
        <f t="shared" si="37"/>
        <v>#DIV/0!</v>
      </c>
      <c r="AM98" s="393" t="e">
        <f t="shared" si="38"/>
        <v>#DIV/0!</v>
      </c>
      <c r="AN98" s="393" t="e">
        <f t="shared" si="39"/>
        <v>#DIV/0!</v>
      </c>
      <c r="AO98" s="393" t="e">
        <f t="shared" si="40"/>
        <v>#DIV/0!</v>
      </c>
      <c r="AP98" s="393" t="e">
        <f t="shared" si="41"/>
        <v>#DIV/0!</v>
      </c>
      <c r="AQ98" s="393" t="e">
        <f t="shared" si="42"/>
        <v>#DIV/0!</v>
      </c>
      <c r="AR98" s="393" t="e">
        <f t="shared" si="43"/>
        <v>#DIV/0!</v>
      </c>
      <c r="AS98" s="393" t="e">
        <f t="shared" si="44"/>
        <v>#DIV/0!</v>
      </c>
      <c r="AT98" s="393" t="e">
        <f t="shared" si="45"/>
        <v>#DIV/0!</v>
      </c>
      <c r="AU98" s="393" t="e">
        <f t="shared" si="46"/>
        <v>#DIV/0!</v>
      </c>
      <c r="AV98" s="393" t="e">
        <f t="shared" si="47"/>
        <v>#DIV/0!</v>
      </c>
      <c r="AW98" s="393" t="e">
        <f t="shared" si="48"/>
        <v>#DIV/0!</v>
      </c>
      <c r="AX98" s="393" t="e">
        <f t="shared" si="49"/>
        <v>#DIV/0!</v>
      </c>
      <c r="AY98" s="393" t="e">
        <f t="shared" si="50"/>
        <v>#DIV/0!</v>
      </c>
      <c r="AZ98" s="393" t="e">
        <f t="shared" si="51"/>
        <v>#DIV/0!</v>
      </c>
      <c r="BA98" s="393" t="e">
        <f t="shared" si="52"/>
        <v>#DIV/0!</v>
      </c>
      <c r="BB98" s="393" t="e">
        <f t="shared" si="53"/>
        <v>#DIV/0!</v>
      </c>
    </row>
    <row r="99" spans="1:54" x14ac:dyDescent="0.25">
      <c r="A99" s="361" t="s">
        <v>619</v>
      </c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80">
        <f>637/1200</f>
        <v>0.53080000000000005</v>
      </c>
      <c r="M99" s="480"/>
      <c r="N99" s="480"/>
      <c r="O99" s="480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  <c r="AC99" s="393" t="e">
        <f t="shared" si="28"/>
        <v>#DIV/0!</v>
      </c>
      <c r="AD99" s="393" t="e">
        <f t="shared" si="29"/>
        <v>#DIV/0!</v>
      </c>
      <c r="AE99" s="393" t="e">
        <f t="shared" si="30"/>
        <v>#DIV/0!</v>
      </c>
      <c r="AF99" s="393" t="e">
        <f t="shared" si="31"/>
        <v>#DIV/0!</v>
      </c>
      <c r="AG99" s="393" t="e">
        <f t="shared" si="32"/>
        <v>#DIV/0!</v>
      </c>
      <c r="AH99" s="393" t="e">
        <f t="shared" si="33"/>
        <v>#DIV/0!</v>
      </c>
      <c r="AI99" s="393" t="e">
        <f t="shared" si="34"/>
        <v>#DIV/0!</v>
      </c>
      <c r="AJ99" s="393" t="e">
        <f t="shared" si="35"/>
        <v>#DIV/0!</v>
      </c>
      <c r="AK99" s="393" t="e">
        <f t="shared" si="36"/>
        <v>#DIV/0!</v>
      </c>
      <c r="AL99" s="393" t="e">
        <f t="shared" si="37"/>
        <v>#DIV/0!</v>
      </c>
      <c r="AM99" s="393">
        <f t="shared" si="38"/>
        <v>-100</v>
      </c>
      <c r="AN99" s="393" t="e">
        <f t="shared" si="39"/>
        <v>#DIV/0!</v>
      </c>
      <c r="AO99" s="393" t="e">
        <f t="shared" si="40"/>
        <v>#DIV/0!</v>
      </c>
      <c r="AP99" s="393" t="e">
        <f t="shared" si="41"/>
        <v>#DIV/0!</v>
      </c>
      <c r="AQ99" s="393" t="e">
        <f t="shared" si="42"/>
        <v>#DIV/0!</v>
      </c>
      <c r="AR99" s="393" t="e">
        <f t="shared" si="43"/>
        <v>#DIV/0!</v>
      </c>
      <c r="AS99" s="393" t="e">
        <f t="shared" si="44"/>
        <v>#DIV/0!</v>
      </c>
      <c r="AT99" s="393" t="e">
        <f t="shared" si="45"/>
        <v>#DIV/0!</v>
      </c>
      <c r="AU99" s="393" t="e">
        <f t="shared" si="46"/>
        <v>#DIV/0!</v>
      </c>
      <c r="AV99" s="393" t="e">
        <f t="shared" si="47"/>
        <v>#DIV/0!</v>
      </c>
      <c r="AW99" s="393" t="e">
        <f t="shared" si="48"/>
        <v>#DIV/0!</v>
      </c>
      <c r="AX99" s="393" t="e">
        <f t="shared" si="49"/>
        <v>#DIV/0!</v>
      </c>
      <c r="AY99" s="393" t="e">
        <f t="shared" si="50"/>
        <v>#DIV/0!</v>
      </c>
      <c r="AZ99" s="393" t="e">
        <f t="shared" si="51"/>
        <v>#DIV/0!</v>
      </c>
      <c r="BA99" s="393" t="e">
        <f t="shared" si="52"/>
        <v>#DIV/0!</v>
      </c>
      <c r="BB99" s="393" t="e">
        <f t="shared" si="53"/>
        <v>#DIV/0!</v>
      </c>
    </row>
    <row r="100" spans="1:54" x14ac:dyDescent="0.25">
      <c r="A100" s="361" t="s">
        <v>1795</v>
      </c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0"/>
      <c r="O100" s="480"/>
      <c r="P100" s="480"/>
      <c r="Q100" s="480"/>
      <c r="R100" s="480">
        <f>1025/1800</f>
        <v>0.56940000000000002</v>
      </c>
      <c r="S100" s="480">
        <f>1005/1800</f>
        <v>0.55830000000000002</v>
      </c>
      <c r="T100" s="480"/>
      <c r="U100" s="480"/>
      <c r="V100" s="480"/>
      <c r="W100" s="480"/>
      <c r="X100" s="480"/>
      <c r="Y100" s="480"/>
      <c r="Z100" s="480"/>
      <c r="AA100" s="480"/>
      <c r="AB100" s="480"/>
      <c r="AC100" s="393" t="e">
        <f t="shared" si="28"/>
        <v>#DIV/0!</v>
      </c>
      <c r="AD100" s="393" t="e">
        <f t="shared" si="29"/>
        <v>#DIV/0!</v>
      </c>
      <c r="AE100" s="393" t="e">
        <f t="shared" si="30"/>
        <v>#DIV/0!</v>
      </c>
      <c r="AF100" s="393" t="e">
        <f t="shared" si="31"/>
        <v>#DIV/0!</v>
      </c>
      <c r="AG100" s="393" t="e">
        <f t="shared" si="32"/>
        <v>#DIV/0!</v>
      </c>
      <c r="AH100" s="393" t="e">
        <f t="shared" si="33"/>
        <v>#DIV/0!</v>
      </c>
      <c r="AI100" s="393" t="e">
        <f t="shared" si="34"/>
        <v>#DIV/0!</v>
      </c>
      <c r="AJ100" s="393" t="e">
        <f t="shared" si="35"/>
        <v>#DIV/0!</v>
      </c>
      <c r="AK100" s="393" t="e">
        <f t="shared" si="36"/>
        <v>#DIV/0!</v>
      </c>
      <c r="AL100" s="393" t="e">
        <f t="shared" si="37"/>
        <v>#DIV/0!</v>
      </c>
      <c r="AM100" s="393" t="e">
        <f t="shared" si="38"/>
        <v>#DIV/0!</v>
      </c>
      <c r="AN100" s="393" t="e">
        <f t="shared" si="39"/>
        <v>#DIV/0!</v>
      </c>
      <c r="AO100" s="393" t="e">
        <f t="shared" si="40"/>
        <v>#DIV/0!</v>
      </c>
      <c r="AP100" s="393" t="e">
        <f t="shared" si="41"/>
        <v>#DIV/0!</v>
      </c>
      <c r="AQ100" s="393" t="e">
        <f t="shared" si="42"/>
        <v>#DIV/0!</v>
      </c>
      <c r="AR100" s="393" t="e">
        <f t="shared" si="43"/>
        <v>#DIV/0!</v>
      </c>
      <c r="AS100" s="393">
        <f t="shared" si="44"/>
        <v>-1.9490000000000001</v>
      </c>
      <c r="AT100" s="393">
        <f t="shared" si="45"/>
        <v>-100</v>
      </c>
      <c r="AU100" s="393" t="e">
        <f t="shared" si="46"/>
        <v>#DIV/0!</v>
      </c>
      <c r="AV100" s="393" t="e">
        <f t="shared" si="47"/>
        <v>#DIV/0!</v>
      </c>
      <c r="AW100" s="393" t="e">
        <f t="shared" si="48"/>
        <v>#DIV/0!</v>
      </c>
      <c r="AX100" s="393" t="e">
        <f t="shared" si="49"/>
        <v>#DIV/0!</v>
      </c>
      <c r="AY100" s="393" t="e">
        <f t="shared" si="50"/>
        <v>#DIV/0!</v>
      </c>
      <c r="AZ100" s="393" t="e">
        <f t="shared" si="51"/>
        <v>#DIV/0!</v>
      </c>
      <c r="BA100" s="393" t="e">
        <f t="shared" si="52"/>
        <v>#DIV/0!</v>
      </c>
      <c r="BB100" s="393" t="e">
        <f t="shared" si="53"/>
        <v>#DIV/0!</v>
      </c>
    </row>
    <row r="101" spans="1:54" x14ac:dyDescent="0.25">
      <c r="A101" s="360" t="s">
        <v>2253</v>
      </c>
      <c r="B101" s="480"/>
      <c r="C101" s="480"/>
      <c r="D101" s="480"/>
      <c r="E101" s="480"/>
      <c r="F101" s="480">
        <f>508/1200</f>
        <v>0.42330000000000001</v>
      </c>
      <c r="G101" s="480">
        <f>1155/2400</f>
        <v>0.48130000000000001</v>
      </c>
      <c r="H101" s="480"/>
      <c r="I101" s="480">
        <f>528/1200</f>
        <v>0.44</v>
      </c>
      <c r="J101" s="480"/>
      <c r="K101" s="480"/>
      <c r="L101" s="480"/>
      <c r="M101" s="480"/>
      <c r="N101" s="480"/>
      <c r="O101" s="480"/>
      <c r="P101" s="480"/>
      <c r="Q101" s="480"/>
      <c r="R101" s="480"/>
      <c r="S101" s="480"/>
      <c r="T101" s="480"/>
      <c r="U101" s="480"/>
      <c r="V101" s="481"/>
      <c r="W101" s="481"/>
      <c r="X101" s="481"/>
      <c r="Y101" s="481"/>
      <c r="Z101" s="481"/>
      <c r="AA101" s="481"/>
      <c r="AB101" s="481"/>
      <c r="AC101" s="393" t="e">
        <f t="shared" si="28"/>
        <v>#DIV/0!</v>
      </c>
      <c r="AD101" s="393" t="e">
        <f t="shared" si="29"/>
        <v>#DIV/0!</v>
      </c>
      <c r="AE101" s="393" t="e">
        <f t="shared" si="30"/>
        <v>#DIV/0!</v>
      </c>
      <c r="AF101" s="393" t="e">
        <f t="shared" si="31"/>
        <v>#DIV/0!</v>
      </c>
      <c r="AG101" s="393">
        <f t="shared" si="32"/>
        <v>13.702</v>
      </c>
      <c r="AH101" s="393">
        <f t="shared" si="33"/>
        <v>-100</v>
      </c>
      <c r="AI101" s="393" t="e">
        <f t="shared" si="34"/>
        <v>#DIV/0!</v>
      </c>
      <c r="AJ101" s="393">
        <f t="shared" si="35"/>
        <v>-100</v>
      </c>
      <c r="AK101" s="393" t="e">
        <f t="shared" si="36"/>
        <v>#DIV/0!</v>
      </c>
      <c r="AL101" s="393" t="e">
        <f t="shared" si="37"/>
        <v>#DIV/0!</v>
      </c>
      <c r="AM101" s="393" t="e">
        <f t="shared" si="38"/>
        <v>#DIV/0!</v>
      </c>
      <c r="AN101" s="393" t="e">
        <f t="shared" si="39"/>
        <v>#DIV/0!</v>
      </c>
      <c r="AO101" s="393" t="e">
        <f t="shared" si="40"/>
        <v>#DIV/0!</v>
      </c>
      <c r="AP101" s="393" t="e">
        <f t="shared" si="41"/>
        <v>#DIV/0!</v>
      </c>
      <c r="AQ101" s="393" t="e">
        <f t="shared" si="42"/>
        <v>#DIV/0!</v>
      </c>
      <c r="AR101" s="393" t="e">
        <f t="shared" si="43"/>
        <v>#DIV/0!</v>
      </c>
      <c r="AS101" s="393" t="e">
        <f t="shared" si="44"/>
        <v>#DIV/0!</v>
      </c>
      <c r="AT101" s="393" t="e">
        <f t="shared" si="45"/>
        <v>#DIV/0!</v>
      </c>
      <c r="AU101" s="393" t="e">
        <f t="shared" si="46"/>
        <v>#DIV/0!</v>
      </c>
      <c r="AV101" s="393" t="e">
        <f t="shared" si="47"/>
        <v>#DIV/0!</v>
      </c>
      <c r="AW101" s="393" t="e">
        <f t="shared" si="48"/>
        <v>#DIV/0!</v>
      </c>
      <c r="AX101" s="393" t="e">
        <f t="shared" si="49"/>
        <v>#DIV/0!</v>
      </c>
      <c r="AY101" s="393" t="e">
        <f t="shared" si="50"/>
        <v>#DIV/0!</v>
      </c>
      <c r="AZ101" s="393" t="e">
        <f t="shared" si="51"/>
        <v>#DIV/0!</v>
      </c>
      <c r="BA101" s="393" t="e">
        <f t="shared" si="52"/>
        <v>#DIV/0!</v>
      </c>
      <c r="BB101" s="393" t="e">
        <f t="shared" si="53"/>
        <v>#DIV/0!</v>
      </c>
    </row>
    <row r="102" spans="1:54" x14ac:dyDescent="0.25">
      <c r="A102" s="361" t="s">
        <v>1200</v>
      </c>
      <c r="B102" s="480"/>
      <c r="C102" s="480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  <c r="N102" s="480"/>
      <c r="O102" s="480"/>
      <c r="P102" s="480"/>
      <c r="Q102" s="480"/>
      <c r="R102" s="480"/>
      <c r="S102" s="480"/>
      <c r="T102" s="480">
        <f>726/1200</f>
        <v>0.60499999999999998</v>
      </c>
      <c r="U102" s="480"/>
      <c r="V102" s="480"/>
      <c r="W102" s="480"/>
      <c r="X102" s="480"/>
      <c r="Y102" s="480"/>
      <c r="Z102" s="480"/>
      <c r="AA102" s="480"/>
      <c r="AB102" s="480"/>
      <c r="AC102" s="393" t="e">
        <f t="shared" si="28"/>
        <v>#DIV/0!</v>
      </c>
      <c r="AD102" s="393" t="e">
        <f t="shared" si="29"/>
        <v>#DIV/0!</v>
      </c>
      <c r="AE102" s="393" t="e">
        <f t="shared" si="30"/>
        <v>#DIV/0!</v>
      </c>
      <c r="AF102" s="393" t="e">
        <f t="shared" si="31"/>
        <v>#DIV/0!</v>
      </c>
      <c r="AG102" s="393" t="e">
        <f t="shared" si="32"/>
        <v>#DIV/0!</v>
      </c>
      <c r="AH102" s="393" t="e">
        <f t="shared" si="33"/>
        <v>#DIV/0!</v>
      </c>
      <c r="AI102" s="393" t="e">
        <f t="shared" si="34"/>
        <v>#DIV/0!</v>
      </c>
      <c r="AJ102" s="393" t="e">
        <f t="shared" si="35"/>
        <v>#DIV/0!</v>
      </c>
      <c r="AK102" s="393" t="e">
        <f t="shared" si="36"/>
        <v>#DIV/0!</v>
      </c>
      <c r="AL102" s="393" t="e">
        <f t="shared" si="37"/>
        <v>#DIV/0!</v>
      </c>
      <c r="AM102" s="393" t="e">
        <f t="shared" si="38"/>
        <v>#DIV/0!</v>
      </c>
      <c r="AN102" s="393" t="e">
        <f t="shared" si="39"/>
        <v>#DIV/0!</v>
      </c>
      <c r="AO102" s="393" t="e">
        <f t="shared" si="40"/>
        <v>#DIV/0!</v>
      </c>
      <c r="AP102" s="393" t="e">
        <f t="shared" si="41"/>
        <v>#DIV/0!</v>
      </c>
      <c r="AQ102" s="393" t="e">
        <f t="shared" si="42"/>
        <v>#DIV/0!</v>
      </c>
      <c r="AR102" s="393" t="e">
        <f t="shared" si="43"/>
        <v>#DIV/0!</v>
      </c>
      <c r="AS102" s="393" t="e">
        <f t="shared" si="44"/>
        <v>#DIV/0!</v>
      </c>
      <c r="AT102" s="393" t="e">
        <f t="shared" si="45"/>
        <v>#DIV/0!</v>
      </c>
      <c r="AU102" s="393">
        <f t="shared" si="46"/>
        <v>-100</v>
      </c>
      <c r="AV102" s="393" t="e">
        <f t="shared" si="47"/>
        <v>#DIV/0!</v>
      </c>
      <c r="AW102" s="393" t="e">
        <f t="shared" si="48"/>
        <v>#DIV/0!</v>
      </c>
      <c r="AX102" s="393" t="e">
        <f t="shared" si="49"/>
        <v>#DIV/0!</v>
      </c>
      <c r="AY102" s="393" t="e">
        <f t="shared" si="50"/>
        <v>#DIV/0!</v>
      </c>
      <c r="AZ102" s="393" t="e">
        <f t="shared" si="51"/>
        <v>#DIV/0!</v>
      </c>
      <c r="BA102" s="393" t="e">
        <f t="shared" si="52"/>
        <v>#DIV/0!</v>
      </c>
      <c r="BB102" s="393" t="e">
        <f t="shared" si="53"/>
        <v>#DIV/0!</v>
      </c>
    </row>
    <row r="103" spans="1:54" x14ac:dyDescent="0.25">
      <c r="A103" s="360" t="s">
        <v>281</v>
      </c>
      <c r="B103" s="480">
        <f>1250/1800</f>
        <v>0.69440000000000002</v>
      </c>
      <c r="C103" s="480">
        <f>1188/1800</f>
        <v>0.66</v>
      </c>
      <c r="D103" s="480"/>
      <c r="E103" s="480"/>
      <c r="F103" s="480"/>
      <c r="G103" s="480">
        <f>1681/2400</f>
        <v>0.70040000000000002</v>
      </c>
      <c r="H103" s="480">
        <f>823/1200</f>
        <v>0.68579999999999997</v>
      </c>
      <c r="I103" s="480"/>
      <c r="J103" s="480">
        <f>813/1200</f>
        <v>0.67749999999999999</v>
      </c>
      <c r="K103" s="480">
        <f>787/1200</f>
        <v>0.65580000000000005</v>
      </c>
      <c r="L103" s="480">
        <f>822/1200</f>
        <v>0.68500000000000005</v>
      </c>
      <c r="M103" s="480">
        <f>837/1200</f>
        <v>0.69750000000000001</v>
      </c>
      <c r="N103" s="480">
        <f>827/1200</f>
        <v>0.68920000000000003</v>
      </c>
      <c r="O103" s="480">
        <f>801/1200</f>
        <v>0.66749999999999998</v>
      </c>
      <c r="P103" s="480"/>
      <c r="Q103" s="480"/>
      <c r="R103" s="480"/>
      <c r="S103" s="480"/>
      <c r="T103" s="480"/>
      <c r="U103" s="480"/>
      <c r="V103" s="481"/>
      <c r="W103" s="481"/>
      <c r="X103" s="481"/>
      <c r="Y103" s="481"/>
      <c r="Z103" s="481"/>
      <c r="AA103" s="481"/>
      <c r="AB103" s="481"/>
      <c r="AC103" s="393">
        <f t="shared" si="28"/>
        <v>-4.9539999999999997</v>
      </c>
      <c r="AD103" s="393">
        <f t="shared" si="29"/>
        <v>-100</v>
      </c>
      <c r="AE103" s="393" t="e">
        <f t="shared" si="30"/>
        <v>#DIV/0!</v>
      </c>
      <c r="AF103" s="393" t="e">
        <f t="shared" si="31"/>
        <v>#DIV/0!</v>
      </c>
      <c r="AG103" s="393" t="e">
        <f t="shared" si="32"/>
        <v>#DIV/0!</v>
      </c>
      <c r="AH103" s="393">
        <f t="shared" si="33"/>
        <v>-2.085</v>
      </c>
      <c r="AI103" s="393">
        <f t="shared" si="34"/>
        <v>-100</v>
      </c>
      <c r="AJ103" s="393" t="e">
        <f t="shared" si="35"/>
        <v>#DIV/0!</v>
      </c>
      <c r="AK103" s="393">
        <f t="shared" si="36"/>
        <v>-3.2029999999999998</v>
      </c>
      <c r="AL103" s="393">
        <f t="shared" si="37"/>
        <v>4.4530000000000003</v>
      </c>
      <c r="AM103" s="393">
        <f t="shared" si="38"/>
        <v>1.825</v>
      </c>
      <c r="AN103" s="393">
        <f t="shared" si="39"/>
        <v>-1.19</v>
      </c>
      <c r="AO103" s="393">
        <f t="shared" si="40"/>
        <v>-3.149</v>
      </c>
      <c r="AP103" s="393">
        <f t="shared" si="41"/>
        <v>-100</v>
      </c>
      <c r="AQ103" s="393" t="e">
        <f t="shared" si="42"/>
        <v>#DIV/0!</v>
      </c>
      <c r="AR103" s="393" t="e">
        <f t="shared" si="43"/>
        <v>#DIV/0!</v>
      </c>
      <c r="AS103" s="393" t="e">
        <f t="shared" si="44"/>
        <v>#DIV/0!</v>
      </c>
      <c r="AT103" s="393" t="e">
        <f t="shared" si="45"/>
        <v>#DIV/0!</v>
      </c>
      <c r="AU103" s="393" t="e">
        <f t="shared" si="46"/>
        <v>#DIV/0!</v>
      </c>
      <c r="AV103" s="393" t="e">
        <f t="shared" si="47"/>
        <v>#DIV/0!</v>
      </c>
      <c r="AW103" s="393" t="e">
        <f t="shared" si="48"/>
        <v>#DIV/0!</v>
      </c>
      <c r="AX103" s="393" t="e">
        <f t="shared" si="49"/>
        <v>#DIV/0!</v>
      </c>
      <c r="AY103" s="393" t="e">
        <f t="shared" si="50"/>
        <v>#DIV/0!</v>
      </c>
      <c r="AZ103" s="393" t="e">
        <f t="shared" si="51"/>
        <v>#DIV/0!</v>
      </c>
      <c r="BA103" s="393" t="e">
        <f t="shared" si="52"/>
        <v>#DIV/0!</v>
      </c>
      <c r="BB103" s="393" t="e">
        <f t="shared" si="53"/>
        <v>#DIV/0!</v>
      </c>
    </row>
    <row r="104" spans="1:54" x14ac:dyDescent="0.25">
      <c r="A104" s="361" t="s">
        <v>1134</v>
      </c>
      <c r="B104" s="480"/>
      <c r="C104" s="480"/>
      <c r="D104" s="480"/>
      <c r="E104" s="480"/>
      <c r="F104" s="480"/>
      <c r="G104" s="480"/>
      <c r="H104" s="480"/>
      <c r="I104" s="480"/>
      <c r="J104" s="480"/>
      <c r="K104" s="480"/>
      <c r="L104" s="480"/>
      <c r="M104" s="480"/>
      <c r="N104" s="480"/>
      <c r="O104" s="480"/>
      <c r="P104" s="480"/>
      <c r="Q104" s="480"/>
      <c r="R104" s="480"/>
      <c r="S104" s="480"/>
      <c r="T104" s="480"/>
      <c r="U104" s="480"/>
      <c r="V104" s="480"/>
      <c r="W104" s="480"/>
      <c r="X104" s="480">
        <f>986/1800</f>
        <v>0.54779999999999995</v>
      </c>
      <c r="Y104" s="480"/>
      <c r="Z104" s="480"/>
      <c r="AA104" s="480"/>
      <c r="AB104" s="480"/>
      <c r="AC104" s="393" t="e">
        <f t="shared" si="28"/>
        <v>#DIV/0!</v>
      </c>
      <c r="AD104" s="393" t="e">
        <f t="shared" si="29"/>
        <v>#DIV/0!</v>
      </c>
      <c r="AE104" s="393" t="e">
        <f t="shared" si="30"/>
        <v>#DIV/0!</v>
      </c>
      <c r="AF104" s="393" t="e">
        <f t="shared" si="31"/>
        <v>#DIV/0!</v>
      </c>
      <c r="AG104" s="393" t="e">
        <f t="shared" si="32"/>
        <v>#DIV/0!</v>
      </c>
      <c r="AH104" s="393" t="e">
        <f t="shared" si="33"/>
        <v>#DIV/0!</v>
      </c>
      <c r="AI104" s="393" t="e">
        <f t="shared" si="34"/>
        <v>#DIV/0!</v>
      </c>
      <c r="AJ104" s="393" t="e">
        <f t="shared" si="35"/>
        <v>#DIV/0!</v>
      </c>
      <c r="AK104" s="393" t="e">
        <f t="shared" si="36"/>
        <v>#DIV/0!</v>
      </c>
      <c r="AL104" s="393" t="e">
        <f t="shared" si="37"/>
        <v>#DIV/0!</v>
      </c>
      <c r="AM104" s="393" t="e">
        <f t="shared" si="38"/>
        <v>#DIV/0!</v>
      </c>
      <c r="AN104" s="393" t="e">
        <f t="shared" si="39"/>
        <v>#DIV/0!</v>
      </c>
      <c r="AO104" s="393" t="e">
        <f t="shared" si="40"/>
        <v>#DIV/0!</v>
      </c>
      <c r="AP104" s="393" t="e">
        <f t="shared" si="41"/>
        <v>#DIV/0!</v>
      </c>
      <c r="AQ104" s="393" t="e">
        <f t="shared" si="42"/>
        <v>#DIV/0!</v>
      </c>
      <c r="AR104" s="393" t="e">
        <f t="shared" si="43"/>
        <v>#DIV/0!</v>
      </c>
      <c r="AS104" s="393" t="e">
        <f t="shared" si="44"/>
        <v>#DIV/0!</v>
      </c>
      <c r="AT104" s="393" t="e">
        <f t="shared" si="45"/>
        <v>#DIV/0!</v>
      </c>
      <c r="AU104" s="393" t="e">
        <f t="shared" si="46"/>
        <v>#DIV/0!</v>
      </c>
      <c r="AV104" s="393" t="e">
        <f t="shared" si="47"/>
        <v>#DIV/0!</v>
      </c>
      <c r="AW104" s="393" t="e">
        <f t="shared" si="48"/>
        <v>#DIV/0!</v>
      </c>
      <c r="AX104" s="393" t="e">
        <f t="shared" si="49"/>
        <v>#DIV/0!</v>
      </c>
      <c r="AY104" s="393">
        <f t="shared" si="50"/>
        <v>-100</v>
      </c>
      <c r="AZ104" s="393" t="e">
        <f t="shared" si="51"/>
        <v>#DIV/0!</v>
      </c>
      <c r="BA104" s="393" t="e">
        <f t="shared" si="52"/>
        <v>#DIV/0!</v>
      </c>
      <c r="BB104" s="393" t="e">
        <f t="shared" si="53"/>
        <v>#DIV/0!</v>
      </c>
    </row>
    <row r="105" spans="1:54" x14ac:dyDescent="0.25">
      <c r="A105" s="361" t="s">
        <v>3338</v>
      </c>
      <c r="B105" s="480"/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>
        <f>713/1200</f>
        <v>0.59419999999999995</v>
      </c>
      <c r="P105" s="480">
        <f>1107/1800</f>
        <v>0.61499999999999999</v>
      </c>
      <c r="Q105" s="480">
        <f>1049/1800</f>
        <v>0.58279999999999998</v>
      </c>
      <c r="R105" s="480">
        <f>1132/1800</f>
        <v>0.62890000000000001</v>
      </c>
      <c r="S105" s="480">
        <f>1184/1800</f>
        <v>0.65780000000000005</v>
      </c>
      <c r="T105" s="480"/>
      <c r="U105" s="480"/>
      <c r="V105" s="480"/>
      <c r="W105" s="480"/>
      <c r="X105" s="480"/>
      <c r="Y105" s="480"/>
      <c r="Z105" s="480"/>
      <c r="AA105" s="480"/>
      <c r="AB105" s="480"/>
      <c r="AC105" s="393" t="e">
        <f t="shared" si="28"/>
        <v>#DIV/0!</v>
      </c>
      <c r="AD105" s="393" t="e">
        <f t="shared" si="29"/>
        <v>#DIV/0!</v>
      </c>
      <c r="AE105" s="393" t="e">
        <f t="shared" si="30"/>
        <v>#DIV/0!</v>
      </c>
      <c r="AF105" s="393" t="e">
        <f t="shared" si="31"/>
        <v>#DIV/0!</v>
      </c>
      <c r="AG105" s="393" t="e">
        <f t="shared" si="32"/>
        <v>#DIV/0!</v>
      </c>
      <c r="AH105" s="393" t="e">
        <f t="shared" si="33"/>
        <v>#DIV/0!</v>
      </c>
      <c r="AI105" s="393" t="e">
        <f t="shared" si="34"/>
        <v>#DIV/0!</v>
      </c>
      <c r="AJ105" s="393" t="e">
        <f t="shared" si="35"/>
        <v>#DIV/0!</v>
      </c>
      <c r="AK105" s="393" t="e">
        <f t="shared" si="36"/>
        <v>#DIV/0!</v>
      </c>
      <c r="AL105" s="393" t="e">
        <f t="shared" si="37"/>
        <v>#DIV/0!</v>
      </c>
      <c r="AM105" s="393" t="e">
        <f t="shared" si="38"/>
        <v>#DIV/0!</v>
      </c>
      <c r="AN105" s="393" t="e">
        <f t="shared" si="39"/>
        <v>#DIV/0!</v>
      </c>
      <c r="AO105" s="393" t="e">
        <f t="shared" si="40"/>
        <v>#DIV/0!</v>
      </c>
      <c r="AP105" s="393">
        <f t="shared" si="41"/>
        <v>3.5009999999999999</v>
      </c>
      <c r="AQ105" s="393">
        <f t="shared" si="42"/>
        <v>-5.2359999999999998</v>
      </c>
      <c r="AR105" s="393">
        <f t="shared" si="43"/>
        <v>7.91</v>
      </c>
      <c r="AS105" s="393">
        <f t="shared" si="44"/>
        <v>4.5949999999999998</v>
      </c>
      <c r="AT105" s="393">
        <f t="shared" si="45"/>
        <v>-100</v>
      </c>
      <c r="AU105" s="393" t="e">
        <f t="shared" si="46"/>
        <v>#DIV/0!</v>
      </c>
      <c r="AV105" s="393" t="e">
        <f t="shared" si="47"/>
        <v>#DIV/0!</v>
      </c>
      <c r="AW105" s="393" t="e">
        <f t="shared" si="48"/>
        <v>#DIV/0!</v>
      </c>
      <c r="AX105" s="393" t="e">
        <f t="shared" si="49"/>
        <v>#DIV/0!</v>
      </c>
      <c r="AY105" s="393" t="e">
        <f t="shared" si="50"/>
        <v>#DIV/0!</v>
      </c>
      <c r="AZ105" s="393" t="e">
        <f t="shared" si="51"/>
        <v>#DIV/0!</v>
      </c>
      <c r="BA105" s="393" t="e">
        <f t="shared" si="52"/>
        <v>#DIV/0!</v>
      </c>
      <c r="BB105" s="393" t="e">
        <f t="shared" si="53"/>
        <v>#DIV/0!</v>
      </c>
    </row>
    <row r="106" spans="1:54" x14ac:dyDescent="0.25">
      <c r="A106" s="565" t="s">
        <v>3286</v>
      </c>
      <c r="B106" s="480"/>
      <c r="C106" s="480">
        <f>1070/1800</f>
        <v>0.59440000000000004</v>
      </c>
      <c r="D106" s="480"/>
      <c r="E106" s="480">
        <f>1162/1800</f>
        <v>0.64559999999999995</v>
      </c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393" t="e">
        <f t="shared" si="28"/>
        <v>#DIV/0!</v>
      </c>
      <c r="AD106" s="393">
        <f t="shared" si="29"/>
        <v>-100</v>
      </c>
      <c r="AE106" s="393" t="e">
        <f t="shared" si="30"/>
        <v>#DIV/0!</v>
      </c>
      <c r="AF106" s="393">
        <f t="shared" si="31"/>
        <v>-100</v>
      </c>
      <c r="AG106" s="393" t="e">
        <f t="shared" si="32"/>
        <v>#DIV/0!</v>
      </c>
      <c r="AH106" s="393" t="e">
        <f t="shared" si="33"/>
        <v>#DIV/0!</v>
      </c>
      <c r="AI106" s="393" t="e">
        <f t="shared" si="34"/>
        <v>#DIV/0!</v>
      </c>
      <c r="AJ106" s="393" t="e">
        <f t="shared" si="35"/>
        <v>#DIV/0!</v>
      </c>
      <c r="AK106" s="393" t="e">
        <f t="shared" si="36"/>
        <v>#DIV/0!</v>
      </c>
      <c r="AL106" s="393" t="e">
        <f t="shared" si="37"/>
        <v>#DIV/0!</v>
      </c>
      <c r="AM106" s="393" t="e">
        <f t="shared" si="38"/>
        <v>#DIV/0!</v>
      </c>
      <c r="AN106" s="393" t="e">
        <f t="shared" si="39"/>
        <v>#DIV/0!</v>
      </c>
      <c r="AO106" s="393" t="e">
        <f t="shared" si="40"/>
        <v>#DIV/0!</v>
      </c>
      <c r="AP106" s="393" t="e">
        <f t="shared" si="41"/>
        <v>#DIV/0!</v>
      </c>
      <c r="AQ106" s="393" t="e">
        <f t="shared" si="42"/>
        <v>#DIV/0!</v>
      </c>
      <c r="AR106" s="393" t="e">
        <f t="shared" si="43"/>
        <v>#DIV/0!</v>
      </c>
      <c r="AS106" s="393" t="e">
        <f t="shared" si="44"/>
        <v>#DIV/0!</v>
      </c>
      <c r="AT106" s="393" t="e">
        <f t="shared" si="45"/>
        <v>#DIV/0!</v>
      </c>
      <c r="AU106" s="393" t="e">
        <f t="shared" si="46"/>
        <v>#DIV/0!</v>
      </c>
      <c r="AV106" s="393" t="e">
        <f t="shared" si="47"/>
        <v>#DIV/0!</v>
      </c>
      <c r="AW106" s="393" t="e">
        <f t="shared" si="48"/>
        <v>#DIV/0!</v>
      </c>
      <c r="AX106" s="393" t="e">
        <f t="shared" si="49"/>
        <v>#DIV/0!</v>
      </c>
      <c r="AY106" s="393" t="e">
        <f t="shared" si="50"/>
        <v>#DIV/0!</v>
      </c>
      <c r="AZ106" s="393" t="e">
        <f t="shared" si="51"/>
        <v>#DIV/0!</v>
      </c>
      <c r="BA106" s="393" t="e">
        <f t="shared" si="52"/>
        <v>#DIV/0!</v>
      </c>
      <c r="BB106" s="393" t="e">
        <f t="shared" si="53"/>
        <v>#DIV/0!</v>
      </c>
    </row>
    <row r="107" spans="1:54" x14ac:dyDescent="0.25">
      <c r="A107" s="355" t="s">
        <v>73</v>
      </c>
      <c r="B107" s="480"/>
      <c r="C107" s="480"/>
      <c r="D107" s="480"/>
      <c r="E107" s="480"/>
      <c r="F107" s="480"/>
      <c r="G107" s="480"/>
      <c r="H107" s="480"/>
      <c r="I107" s="480"/>
      <c r="J107" s="480"/>
      <c r="K107" s="480"/>
      <c r="L107" s="480"/>
      <c r="M107" s="480"/>
      <c r="N107" s="480"/>
      <c r="O107" s="480"/>
      <c r="P107" s="480"/>
      <c r="Q107" s="480"/>
      <c r="R107" s="480"/>
      <c r="S107" s="480"/>
      <c r="T107" s="480"/>
      <c r="U107" s="480">
        <f>1022/1800</f>
        <v>0.56779999999999997</v>
      </c>
      <c r="V107" s="480">
        <f>689/1200</f>
        <v>0.57420000000000004</v>
      </c>
      <c r="W107" s="480">
        <f>689/1200</f>
        <v>0.57420000000000004</v>
      </c>
      <c r="X107" s="480"/>
      <c r="Y107" s="480"/>
      <c r="Z107" s="480"/>
      <c r="AA107" s="480"/>
      <c r="AB107" s="480"/>
      <c r="AC107" s="393" t="e">
        <f t="shared" si="28"/>
        <v>#DIV/0!</v>
      </c>
      <c r="AD107" s="393" t="e">
        <f t="shared" si="29"/>
        <v>#DIV/0!</v>
      </c>
      <c r="AE107" s="393" t="e">
        <f t="shared" si="30"/>
        <v>#DIV/0!</v>
      </c>
      <c r="AF107" s="393" t="e">
        <f t="shared" si="31"/>
        <v>#DIV/0!</v>
      </c>
      <c r="AG107" s="393" t="e">
        <f t="shared" si="32"/>
        <v>#DIV/0!</v>
      </c>
      <c r="AH107" s="393" t="e">
        <f t="shared" si="33"/>
        <v>#DIV/0!</v>
      </c>
      <c r="AI107" s="393" t="e">
        <f t="shared" si="34"/>
        <v>#DIV/0!</v>
      </c>
      <c r="AJ107" s="393" t="e">
        <f t="shared" si="35"/>
        <v>#DIV/0!</v>
      </c>
      <c r="AK107" s="393" t="e">
        <f t="shared" si="36"/>
        <v>#DIV/0!</v>
      </c>
      <c r="AL107" s="393" t="e">
        <f t="shared" si="37"/>
        <v>#DIV/0!</v>
      </c>
      <c r="AM107" s="393" t="e">
        <f t="shared" si="38"/>
        <v>#DIV/0!</v>
      </c>
      <c r="AN107" s="393" t="e">
        <f t="shared" si="39"/>
        <v>#DIV/0!</v>
      </c>
      <c r="AO107" s="393" t="e">
        <f t="shared" si="40"/>
        <v>#DIV/0!</v>
      </c>
      <c r="AP107" s="393" t="e">
        <f t="shared" si="41"/>
        <v>#DIV/0!</v>
      </c>
      <c r="AQ107" s="393" t="e">
        <f t="shared" si="42"/>
        <v>#DIV/0!</v>
      </c>
      <c r="AR107" s="393" t="e">
        <f t="shared" si="43"/>
        <v>#DIV/0!</v>
      </c>
      <c r="AS107" s="393" t="e">
        <f t="shared" si="44"/>
        <v>#DIV/0!</v>
      </c>
      <c r="AT107" s="393" t="e">
        <f t="shared" si="45"/>
        <v>#DIV/0!</v>
      </c>
      <c r="AU107" s="393" t="e">
        <f t="shared" si="46"/>
        <v>#DIV/0!</v>
      </c>
      <c r="AV107" s="393">
        <f t="shared" si="47"/>
        <v>1.127</v>
      </c>
      <c r="AW107" s="393">
        <f t="shared" si="48"/>
        <v>0</v>
      </c>
      <c r="AX107" s="393">
        <f t="shared" si="49"/>
        <v>-100</v>
      </c>
      <c r="AY107" s="393" t="e">
        <f t="shared" si="50"/>
        <v>#DIV/0!</v>
      </c>
      <c r="AZ107" s="393" t="e">
        <f t="shared" si="51"/>
        <v>#DIV/0!</v>
      </c>
      <c r="BA107" s="393" t="e">
        <f t="shared" si="52"/>
        <v>#DIV/0!</v>
      </c>
      <c r="BB107" s="393" t="e">
        <f t="shared" si="53"/>
        <v>#DIV/0!</v>
      </c>
    </row>
    <row r="108" spans="1:54" x14ac:dyDescent="0.25">
      <c r="A108" s="360" t="s">
        <v>4510</v>
      </c>
      <c r="B108" s="480"/>
      <c r="C108" s="480"/>
      <c r="D108" s="480"/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0"/>
      <c r="P108" s="480"/>
      <c r="Q108" s="480"/>
      <c r="R108" s="480"/>
      <c r="S108" s="480"/>
      <c r="T108" s="480"/>
      <c r="U108" s="480"/>
      <c r="V108" s="480"/>
      <c r="W108" s="480"/>
      <c r="X108" s="480"/>
      <c r="Y108" s="480">
        <f>1174/1800</f>
        <v>0.6522</v>
      </c>
      <c r="Z108" s="480"/>
      <c r="AA108" s="480"/>
      <c r="AB108" s="480"/>
      <c r="AC108" s="393" t="e">
        <f t="shared" si="28"/>
        <v>#DIV/0!</v>
      </c>
      <c r="AD108" s="393" t="e">
        <f t="shared" si="29"/>
        <v>#DIV/0!</v>
      </c>
      <c r="AE108" s="393" t="e">
        <f t="shared" si="30"/>
        <v>#DIV/0!</v>
      </c>
      <c r="AF108" s="393" t="e">
        <f t="shared" si="31"/>
        <v>#DIV/0!</v>
      </c>
      <c r="AG108" s="393" t="e">
        <f t="shared" si="32"/>
        <v>#DIV/0!</v>
      </c>
      <c r="AH108" s="393" t="e">
        <f t="shared" si="33"/>
        <v>#DIV/0!</v>
      </c>
      <c r="AI108" s="393" t="e">
        <f t="shared" si="34"/>
        <v>#DIV/0!</v>
      </c>
      <c r="AJ108" s="393" t="e">
        <f t="shared" si="35"/>
        <v>#DIV/0!</v>
      </c>
      <c r="AK108" s="393" t="e">
        <f t="shared" si="36"/>
        <v>#DIV/0!</v>
      </c>
      <c r="AL108" s="393" t="e">
        <f t="shared" si="37"/>
        <v>#DIV/0!</v>
      </c>
      <c r="AM108" s="393" t="e">
        <f t="shared" si="38"/>
        <v>#DIV/0!</v>
      </c>
      <c r="AN108" s="393" t="e">
        <f t="shared" si="39"/>
        <v>#DIV/0!</v>
      </c>
      <c r="AO108" s="393" t="e">
        <f t="shared" si="40"/>
        <v>#DIV/0!</v>
      </c>
      <c r="AP108" s="393" t="e">
        <f t="shared" si="41"/>
        <v>#DIV/0!</v>
      </c>
      <c r="AQ108" s="393" t="e">
        <f t="shared" si="42"/>
        <v>#DIV/0!</v>
      </c>
      <c r="AR108" s="393" t="e">
        <f t="shared" si="43"/>
        <v>#DIV/0!</v>
      </c>
      <c r="AS108" s="393" t="e">
        <f t="shared" si="44"/>
        <v>#DIV/0!</v>
      </c>
      <c r="AT108" s="393" t="e">
        <f t="shared" si="45"/>
        <v>#DIV/0!</v>
      </c>
      <c r="AU108" s="393" t="e">
        <f t="shared" si="46"/>
        <v>#DIV/0!</v>
      </c>
      <c r="AV108" s="393" t="e">
        <f t="shared" si="47"/>
        <v>#DIV/0!</v>
      </c>
      <c r="AW108" s="393" t="e">
        <f t="shared" si="48"/>
        <v>#DIV/0!</v>
      </c>
      <c r="AX108" s="393" t="e">
        <f t="shared" si="49"/>
        <v>#DIV/0!</v>
      </c>
      <c r="AY108" s="393" t="e">
        <f t="shared" si="50"/>
        <v>#DIV/0!</v>
      </c>
      <c r="AZ108" s="393">
        <f t="shared" si="51"/>
        <v>-100</v>
      </c>
      <c r="BA108" s="393" t="e">
        <f t="shared" si="52"/>
        <v>#DIV/0!</v>
      </c>
      <c r="BB108" s="393" t="e">
        <f t="shared" si="53"/>
        <v>#DIV/0!</v>
      </c>
    </row>
    <row r="109" spans="1:54" x14ac:dyDescent="0.25">
      <c r="A109" s="360" t="s">
        <v>2246</v>
      </c>
      <c r="B109" s="480"/>
      <c r="C109" s="480"/>
      <c r="D109" s="480"/>
      <c r="E109" s="480"/>
      <c r="F109" s="480">
        <f>582/1200</f>
        <v>0.48499999999999999</v>
      </c>
      <c r="G109" s="480">
        <f>1201/2400</f>
        <v>0.50039999999999996</v>
      </c>
      <c r="H109" s="480"/>
      <c r="I109" s="480"/>
      <c r="J109" s="480"/>
      <c r="K109" s="480"/>
      <c r="L109" s="480"/>
      <c r="M109" s="480"/>
      <c r="N109" s="480"/>
      <c r="O109" s="480"/>
      <c r="P109" s="480"/>
      <c r="Q109" s="480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  <c r="AC109" s="393" t="e">
        <f t="shared" si="28"/>
        <v>#DIV/0!</v>
      </c>
      <c r="AD109" s="393" t="e">
        <f t="shared" si="29"/>
        <v>#DIV/0!</v>
      </c>
      <c r="AE109" s="393" t="e">
        <f t="shared" si="30"/>
        <v>#DIV/0!</v>
      </c>
      <c r="AF109" s="393" t="e">
        <f t="shared" si="31"/>
        <v>#DIV/0!</v>
      </c>
      <c r="AG109" s="393">
        <f t="shared" si="32"/>
        <v>3.1749999999999998</v>
      </c>
      <c r="AH109" s="393">
        <f t="shared" si="33"/>
        <v>-100</v>
      </c>
      <c r="AI109" s="393" t="e">
        <f t="shared" si="34"/>
        <v>#DIV/0!</v>
      </c>
      <c r="AJ109" s="393" t="e">
        <f t="shared" si="35"/>
        <v>#DIV/0!</v>
      </c>
      <c r="AK109" s="393" t="e">
        <f t="shared" si="36"/>
        <v>#DIV/0!</v>
      </c>
      <c r="AL109" s="393" t="e">
        <f t="shared" si="37"/>
        <v>#DIV/0!</v>
      </c>
      <c r="AM109" s="393" t="e">
        <f t="shared" si="38"/>
        <v>#DIV/0!</v>
      </c>
      <c r="AN109" s="393" t="e">
        <f t="shared" si="39"/>
        <v>#DIV/0!</v>
      </c>
      <c r="AO109" s="393" t="e">
        <f t="shared" si="40"/>
        <v>#DIV/0!</v>
      </c>
      <c r="AP109" s="393" t="e">
        <f t="shared" si="41"/>
        <v>#DIV/0!</v>
      </c>
      <c r="AQ109" s="393" t="e">
        <f t="shared" si="42"/>
        <v>#DIV/0!</v>
      </c>
      <c r="AR109" s="393" t="e">
        <f t="shared" si="43"/>
        <v>#DIV/0!</v>
      </c>
      <c r="AS109" s="393" t="e">
        <f t="shared" si="44"/>
        <v>#DIV/0!</v>
      </c>
      <c r="AT109" s="393" t="e">
        <f t="shared" si="45"/>
        <v>#DIV/0!</v>
      </c>
      <c r="AU109" s="393" t="e">
        <f t="shared" si="46"/>
        <v>#DIV/0!</v>
      </c>
      <c r="AV109" s="393" t="e">
        <f t="shared" si="47"/>
        <v>#DIV/0!</v>
      </c>
      <c r="AW109" s="393" t="e">
        <f t="shared" si="48"/>
        <v>#DIV/0!</v>
      </c>
      <c r="AX109" s="393" t="e">
        <f t="shared" si="49"/>
        <v>#DIV/0!</v>
      </c>
      <c r="AY109" s="393" t="e">
        <f t="shared" si="50"/>
        <v>#DIV/0!</v>
      </c>
      <c r="AZ109" s="393" t="e">
        <f t="shared" si="51"/>
        <v>#DIV/0!</v>
      </c>
      <c r="BA109" s="393" t="e">
        <f t="shared" si="52"/>
        <v>#DIV/0!</v>
      </c>
      <c r="BB109" s="393" t="e">
        <f t="shared" si="53"/>
        <v>#DIV/0!</v>
      </c>
    </row>
    <row r="110" spans="1:54" x14ac:dyDescent="0.25">
      <c r="A110" s="565" t="s">
        <v>3104</v>
      </c>
      <c r="B110" s="480">
        <f>832/1800</f>
        <v>0.4622</v>
      </c>
      <c r="C110" s="480"/>
      <c r="D110" s="480"/>
      <c r="E110" s="480"/>
      <c r="F110" s="480"/>
      <c r="G110" s="480"/>
      <c r="H110" s="480"/>
      <c r="I110" s="480"/>
      <c r="J110" s="480"/>
      <c r="K110" s="480"/>
      <c r="L110" s="480"/>
      <c r="M110" s="480"/>
      <c r="N110" s="480"/>
      <c r="O110" s="480"/>
      <c r="P110" s="480"/>
      <c r="Q110" s="480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393">
        <f t="shared" si="28"/>
        <v>-100</v>
      </c>
      <c r="AD110" s="393" t="e">
        <f t="shared" si="29"/>
        <v>#DIV/0!</v>
      </c>
      <c r="AE110" s="393" t="e">
        <f t="shared" si="30"/>
        <v>#DIV/0!</v>
      </c>
      <c r="AF110" s="393" t="e">
        <f t="shared" si="31"/>
        <v>#DIV/0!</v>
      </c>
      <c r="AG110" s="393" t="e">
        <f t="shared" si="32"/>
        <v>#DIV/0!</v>
      </c>
      <c r="AH110" s="393" t="e">
        <f t="shared" si="33"/>
        <v>#DIV/0!</v>
      </c>
      <c r="AI110" s="393" t="e">
        <f t="shared" si="34"/>
        <v>#DIV/0!</v>
      </c>
      <c r="AJ110" s="393" t="e">
        <f t="shared" si="35"/>
        <v>#DIV/0!</v>
      </c>
      <c r="AK110" s="393" t="e">
        <f t="shared" si="36"/>
        <v>#DIV/0!</v>
      </c>
      <c r="AL110" s="393" t="e">
        <f t="shared" si="37"/>
        <v>#DIV/0!</v>
      </c>
      <c r="AM110" s="393" t="e">
        <f t="shared" si="38"/>
        <v>#DIV/0!</v>
      </c>
      <c r="AN110" s="393" t="e">
        <f t="shared" si="39"/>
        <v>#DIV/0!</v>
      </c>
      <c r="AO110" s="393" t="e">
        <f t="shared" si="40"/>
        <v>#DIV/0!</v>
      </c>
      <c r="AP110" s="393" t="e">
        <f t="shared" si="41"/>
        <v>#DIV/0!</v>
      </c>
      <c r="AQ110" s="393" t="e">
        <f t="shared" si="42"/>
        <v>#DIV/0!</v>
      </c>
      <c r="AR110" s="393" t="e">
        <f t="shared" si="43"/>
        <v>#DIV/0!</v>
      </c>
      <c r="AS110" s="393" t="e">
        <f t="shared" si="44"/>
        <v>#DIV/0!</v>
      </c>
      <c r="AT110" s="393" t="e">
        <f t="shared" si="45"/>
        <v>#DIV/0!</v>
      </c>
      <c r="AU110" s="393" t="e">
        <f t="shared" si="46"/>
        <v>#DIV/0!</v>
      </c>
      <c r="AV110" s="393" t="e">
        <f t="shared" si="47"/>
        <v>#DIV/0!</v>
      </c>
      <c r="AW110" s="393" t="e">
        <f t="shared" si="48"/>
        <v>#DIV/0!</v>
      </c>
      <c r="AX110" s="393" t="e">
        <f t="shared" si="49"/>
        <v>#DIV/0!</v>
      </c>
      <c r="AY110" s="393" t="e">
        <f t="shared" si="50"/>
        <v>#DIV/0!</v>
      </c>
      <c r="AZ110" s="393" t="e">
        <f t="shared" si="51"/>
        <v>#DIV/0!</v>
      </c>
      <c r="BA110" s="393" t="e">
        <f t="shared" si="52"/>
        <v>#DIV/0!</v>
      </c>
      <c r="BB110" s="393" t="e">
        <f t="shared" si="53"/>
        <v>#DIV/0!</v>
      </c>
    </row>
    <row r="111" spans="1:54" x14ac:dyDescent="0.25">
      <c r="A111" s="565" t="s">
        <v>3113</v>
      </c>
      <c r="B111" s="480"/>
      <c r="C111" s="480">
        <f>912/1800</f>
        <v>0.50670000000000004</v>
      </c>
      <c r="D111" s="480">
        <f>854/1800</f>
        <v>0.47439999999999999</v>
      </c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  <c r="AC111" s="393" t="e">
        <f t="shared" si="28"/>
        <v>#DIV/0!</v>
      </c>
      <c r="AD111" s="393">
        <f t="shared" si="29"/>
        <v>-6.375</v>
      </c>
      <c r="AE111" s="393">
        <f t="shared" si="30"/>
        <v>-100</v>
      </c>
      <c r="AF111" s="393" t="e">
        <f t="shared" si="31"/>
        <v>#DIV/0!</v>
      </c>
      <c r="AG111" s="393" t="e">
        <f t="shared" si="32"/>
        <v>#DIV/0!</v>
      </c>
      <c r="AH111" s="393" t="e">
        <f t="shared" si="33"/>
        <v>#DIV/0!</v>
      </c>
      <c r="AI111" s="393" t="e">
        <f t="shared" si="34"/>
        <v>#DIV/0!</v>
      </c>
      <c r="AJ111" s="393" t="e">
        <f t="shared" si="35"/>
        <v>#DIV/0!</v>
      </c>
      <c r="AK111" s="393" t="e">
        <f t="shared" si="36"/>
        <v>#DIV/0!</v>
      </c>
      <c r="AL111" s="393" t="e">
        <f t="shared" si="37"/>
        <v>#DIV/0!</v>
      </c>
      <c r="AM111" s="393" t="e">
        <f t="shared" si="38"/>
        <v>#DIV/0!</v>
      </c>
      <c r="AN111" s="393" t="e">
        <f t="shared" si="39"/>
        <v>#DIV/0!</v>
      </c>
      <c r="AO111" s="393" t="e">
        <f t="shared" si="40"/>
        <v>#DIV/0!</v>
      </c>
      <c r="AP111" s="393" t="e">
        <f t="shared" si="41"/>
        <v>#DIV/0!</v>
      </c>
      <c r="AQ111" s="393" t="e">
        <f t="shared" si="42"/>
        <v>#DIV/0!</v>
      </c>
      <c r="AR111" s="393" t="e">
        <f t="shared" si="43"/>
        <v>#DIV/0!</v>
      </c>
      <c r="AS111" s="393" t="e">
        <f t="shared" si="44"/>
        <v>#DIV/0!</v>
      </c>
      <c r="AT111" s="393" t="e">
        <f t="shared" si="45"/>
        <v>#DIV/0!</v>
      </c>
      <c r="AU111" s="393" t="e">
        <f t="shared" si="46"/>
        <v>#DIV/0!</v>
      </c>
      <c r="AV111" s="393" t="e">
        <f t="shared" si="47"/>
        <v>#DIV/0!</v>
      </c>
      <c r="AW111" s="393" t="e">
        <f t="shared" si="48"/>
        <v>#DIV/0!</v>
      </c>
      <c r="AX111" s="393" t="e">
        <f t="shared" si="49"/>
        <v>#DIV/0!</v>
      </c>
      <c r="AY111" s="393" t="e">
        <f t="shared" si="50"/>
        <v>#DIV/0!</v>
      </c>
      <c r="AZ111" s="393" t="e">
        <f t="shared" si="51"/>
        <v>#DIV/0!</v>
      </c>
      <c r="BA111" s="393" t="e">
        <f t="shared" si="52"/>
        <v>#DIV/0!</v>
      </c>
      <c r="BB111" s="393" t="e">
        <f t="shared" si="53"/>
        <v>#DIV/0!</v>
      </c>
    </row>
    <row r="112" spans="1:54" x14ac:dyDescent="0.25">
      <c r="A112" s="360" t="s">
        <v>4383</v>
      </c>
      <c r="B112" s="480"/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480">
        <f>1000/1800</f>
        <v>0.55559999999999998</v>
      </c>
      <c r="Z112" s="480"/>
      <c r="AA112" s="480"/>
      <c r="AB112" s="480">
        <v>0.60399999999999998</v>
      </c>
      <c r="AC112" s="393" t="e">
        <f t="shared" si="28"/>
        <v>#DIV/0!</v>
      </c>
      <c r="AD112" s="393" t="e">
        <f t="shared" si="29"/>
        <v>#DIV/0!</v>
      </c>
      <c r="AE112" s="393" t="e">
        <f t="shared" si="30"/>
        <v>#DIV/0!</v>
      </c>
      <c r="AF112" s="393" t="e">
        <f t="shared" si="31"/>
        <v>#DIV/0!</v>
      </c>
      <c r="AG112" s="393" t="e">
        <f t="shared" si="32"/>
        <v>#DIV/0!</v>
      </c>
      <c r="AH112" s="393" t="e">
        <f t="shared" si="33"/>
        <v>#DIV/0!</v>
      </c>
      <c r="AI112" s="393" t="e">
        <f t="shared" si="34"/>
        <v>#DIV/0!</v>
      </c>
      <c r="AJ112" s="393" t="e">
        <f t="shared" si="35"/>
        <v>#DIV/0!</v>
      </c>
      <c r="AK112" s="393" t="e">
        <f t="shared" si="36"/>
        <v>#DIV/0!</v>
      </c>
      <c r="AL112" s="393" t="e">
        <f t="shared" si="37"/>
        <v>#DIV/0!</v>
      </c>
      <c r="AM112" s="393" t="e">
        <f t="shared" si="38"/>
        <v>#DIV/0!</v>
      </c>
      <c r="AN112" s="393" t="e">
        <f t="shared" si="39"/>
        <v>#DIV/0!</v>
      </c>
      <c r="AO112" s="393" t="e">
        <f t="shared" si="40"/>
        <v>#DIV/0!</v>
      </c>
      <c r="AP112" s="393" t="e">
        <f t="shared" si="41"/>
        <v>#DIV/0!</v>
      </c>
      <c r="AQ112" s="393" t="e">
        <f t="shared" si="42"/>
        <v>#DIV/0!</v>
      </c>
      <c r="AR112" s="393" t="e">
        <f t="shared" si="43"/>
        <v>#DIV/0!</v>
      </c>
      <c r="AS112" s="393" t="e">
        <f t="shared" si="44"/>
        <v>#DIV/0!</v>
      </c>
      <c r="AT112" s="393" t="e">
        <f t="shared" si="45"/>
        <v>#DIV/0!</v>
      </c>
      <c r="AU112" s="393" t="e">
        <f t="shared" si="46"/>
        <v>#DIV/0!</v>
      </c>
      <c r="AV112" s="393" t="e">
        <f t="shared" si="47"/>
        <v>#DIV/0!</v>
      </c>
      <c r="AW112" s="393" t="e">
        <f t="shared" si="48"/>
        <v>#DIV/0!</v>
      </c>
      <c r="AX112" s="393" t="e">
        <f t="shared" si="49"/>
        <v>#DIV/0!</v>
      </c>
      <c r="AY112" s="393" t="e">
        <f t="shared" si="50"/>
        <v>#DIV/0!</v>
      </c>
      <c r="AZ112" s="393">
        <f t="shared" si="51"/>
        <v>-100</v>
      </c>
      <c r="BA112" s="393" t="e">
        <f t="shared" si="52"/>
        <v>#DIV/0!</v>
      </c>
      <c r="BB112" s="393" t="e">
        <f t="shared" si="53"/>
        <v>#DIV/0!</v>
      </c>
    </row>
    <row r="113" spans="1:54" x14ac:dyDescent="0.25">
      <c r="A113" s="361" t="s">
        <v>1577</v>
      </c>
      <c r="B113" s="480"/>
      <c r="C113" s="480"/>
      <c r="D113" s="480"/>
      <c r="E113" s="480"/>
      <c r="F113" s="480"/>
      <c r="G113" s="480"/>
      <c r="H113" s="480"/>
      <c r="I113" s="480"/>
      <c r="J113" s="480"/>
      <c r="K113" s="480"/>
      <c r="L113" s="480"/>
      <c r="M113" s="480"/>
      <c r="N113" s="480"/>
      <c r="O113" s="480"/>
      <c r="P113" s="480"/>
      <c r="Q113" s="480">
        <f>1071/1800</f>
        <v>0.59499999999999997</v>
      </c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  <c r="AC113" s="393" t="e">
        <f t="shared" si="28"/>
        <v>#DIV/0!</v>
      </c>
      <c r="AD113" s="393" t="e">
        <f t="shared" si="29"/>
        <v>#DIV/0!</v>
      </c>
      <c r="AE113" s="393" t="e">
        <f t="shared" si="30"/>
        <v>#DIV/0!</v>
      </c>
      <c r="AF113" s="393" t="e">
        <f t="shared" si="31"/>
        <v>#DIV/0!</v>
      </c>
      <c r="AG113" s="393" t="e">
        <f t="shared" si="32"/>
        <v>#DIV/0!</v>
      </c>
      <c r="AH113" s="393" t="e">
        <f t="shared" si="33"/>
        <v>#DIV/0!</v>
      </c>
      <c r="AI113" s="393" t="e">
        <f t="shared" si="34"/>
        <v>#DIV/0!</v>
      </c>
      <c r="AJ113" s="393" t="e">
        <f t="shared" si="35"/>
        <v>#DIV/0!</v>
      </c>
      <c r="AK113" s="393" t="e">
        <f t="shared" si="36"/>
        <v>#DIV/0!</v>
      </c>
      <c r="AL113" s="393" t="e">
        <f t="shared" si="37"/>
        <v>#DIV/0!</v>
      </c>
      <c r="AM113" s="393" t="e">
        <f t="shared" si="38"/>
        <v>#DIV/0!</v>
      </c>
      <c r="AN113" s="393" t="e">
        <f t="shared" si="39"/>
        <v>#DIV/0!</v>
      </c>
      <c r="AO113" s="393" t="e">
        <f t="shared" si="40"/>
        <v>#DIV/0!</v>
      </c>
      <c r="AP113" s="393" t="e">
        <f t="shared" si="41"/>
        <v>#DIV/0!</v>
      </c>
      <c r="AQ113" s="393" t="e">
        <f t="shared" si="42"/>
        <v>#DIV/0!</v>
      </c>
      <c r="AR113" s="393">
        <f t="shared" si="43"/>
        <v>-100</v>
      </c>
      <c r="AS113" s="393" t="e">
        <f t="shared" si="44"/>
        <v>#DIV/0!</v>
      </c>
      <c r="AT113" s="393" t="e">
        <f t="shared" si="45"/>
        <v>#DIV/0!</v>
      </c>
      <c r="AU113" s="393" t="e">
        <f t="shared" si="46"/>
        <v>#DIV/0!</v>
      </c>
      <c r="AV113" s="393" t="e">
        <f t="shared" si="47"/>
        <v>#DIV/0!</v>
      </c>
      <c r="AW113" s="393" t="e">
        <f t="shared" si="48"/>
        <v>#DIV/0!</v>
      </c>
      <c r="AX113" s="393" t="e">
        <f t="shared" si="49"/>
        <v>#DIV/0!</v>
      </c>
      <c r="AY113" s="393" t="e">
        <f t="shared" si="50"/>
        <v>#DIV/0!</v>
      </c>
      <c r="AZ113" s="393" t="e">
        <f t="shared" si="51"/>
        <v>#DIV/0!</v>
      </c>
      <c r="BA113" s="393" t="e">
        <f t="shared" si="52"/>
        <v>#DIV/0!</v>
      </c>
      <c r="BB113" s="393" t="e">
        <f t="shared" si="53"/>
        <v>#DIV/0!</v>
      </c>
    </row>
    <row r="114" spans="1:54" x14ac:dyDescent="0.25">
      <c r="A114" s="360" t="s">
        <v>1212</v>
      </c>
      <c r="B114" s="480"/>
      <c r="C114" s="480"/>
      <c r="D114" s="480"/>
      <c r="E114" s="480"/>
      <c r="F114" s="480"/>
      <c r="G114" s="480"/>
      <c r="H114" s="480">
        <f>576/1200</f>
        <v>0.48</v>
      </c>
      <c r="I114" s="480"/>
      <c r="J114" s="480"/>
      <c r="K114" s="480"/>
      <c r="L114" s="480"/>
      <c r="M114" s="480"/>
      <c r="N114" s="480"/>
      <c r="O114" s="480"/>
      <c r="P114" s="480"/>
      <c r="Q114" s="480"/>
      <c r="R114" s="480"/>
      <c r="S114" s="480"/>
      <c r="T114" s="480"/>
      <c r="U114" s="480"/>
      <c r="V114" s="480"/>
      <c r="W114" s="480"/>
      <c r="X114" s="480"/>
      <c r="Y114" s="480"/>
      <c r="Z114" s="480"/>
      <c r="AA114" s="480"/>
      <c r="AB114" s="480"/>
      <c r="AC114" s="393" t="e">
        <f t="shared" si="28"/>
        <v>#DIV/0!</v>
      </c>
      <c r="AD114" s="393" t="e">
        <f t="shared" si="29"/>
        <v>#DIV/0!</v>
      </c>
      <c r="AE114" s="393" t="e">
        <f t="shared" si="30"/>
        <v>#DIV/0!</v>
      </c>
      <c r="AF114" s="393" t="e">
        <f t="shared" si="31"/>
        <v>#DIV/0!</v>
      </c>
      <c r="AG114" s="393" t="e">
        <f t="shared" si="32"/>
        <v>#DIV/0!</v>
      </c>
      <c r="AH114" s="393" t="e">
        <f t="shared" si="33"/>
        <v>#DIV/0!</v>
      </c>
      <c r="AI114" s="393">
        <f t="shared" si="34"/>
        <v>-100</v>
      </c>
      <c r="AJ114" s="393" t="e">
        <f t="shared" si="35"/>
        <v>#DIV/0!</v>
      </c>
      <c r="AK114" s="393" t="e">
        <f t="shared" si="36"/>
        <v>#DIV/0!</v>
      </c>
      <c r="AL114" s="393" t="e">
        <f t="shared" si="37"/>
        <v>#DIV/0!</v>
      </c>
      <c r="AM114" s="393" t="e">
        <f t="shared" si="38"/>
        <v>#DIV/0!</v>
      </c>
      <c r="AN114" s="393" t="e">
        <f t="shared" si="39"/>
        <v>#DIV/0!</v>
      </c>
      <c r="AO114" s="393" t="e">
        <f t="shared" si="40"/>
        <v>#DIV/0!</v>
      </c>
      <c r="AP114" s="393" t="e">
        <f t="shared" si="41"/>
        <v>#DIV/0!</v>
      </c>
      <c r="AQ114" s="393" t="e">
        <f t="shared" si="42"/>
        <v>#DIV/0!</v>
      </c>
      <c r="AR114" s="393" t="e">
        <f t="shared" si="43"/>
        <v>#DIV/0!</v>
      </c>
      <c r="AS114" s="393" t="e">
        <f t="shared" si="44"/>
        <v>#DIV/0!</v>
      </c>
      <c r="AT114" s="393" t="e">
        <f t="shared" si="45"/>
        <v>#DIV/0!</v>
      </c>
      <c r="AU114" s="393" t="e">
        <f t="shared" si="46"/>
        <v>#DIV/0!</v>
      </c>
      <c r="AV114" s="393" t="e">
        <f t="shared" si="47"/>
        <v>#DIV/0!</v>
      </c>
      <c r="AW114" s="393" t="e">
        <f t="shared" si="48"/>
        <v>#DIV/0!</v>
      </c>
      <c r="AX114" s="393" t="e">
        <f t="shared" si="49"/>
        <v>#DIV/0!</v>
      </c>
      <c r="AY114" s="393" t="e">
        <f t="shared" si="50"/>
        <v>#DIV/0!</v>
      </c>
      <c r="AZ114" s="393" t="e">
        <f t="shared" si="51"/>
        <v>#DIV/0!</v>
      </c>
      <c r="BA114" s="393" t="e">
        <f t="shared" si="52"/>
        <v>#DIV/0!</v>
      </c>
      <c r="BB114" s="393" t="e">
        <f t="shared" si="53"/>
        <v>#DIV/0!</v>
      </c>
    </row>
    <row r="115" spans="1:54" x14ac:dyDescent="0.25">
      <c r="A115" s="361" t="s">
        <v>163</v>
      </c>
      <c r="B115" s="480">
        <f>1145/1800</f>
        <v>0.6361</v>
      </c>
      <c r="C115" s="480">
        <f>1160/1800</f>
        <v>0.64439999999999997</v>
      </c>
      <c r="D115" s="480">
        <f>1226/1800</f>
        <v>0.68110000000000004</v>
      </c>
      <c r="E115" s="480">
        <f>1246/1800</f>
        <v>0.69220000000000004</v>
      </c>
      <c r="F115" s="480">
        <f>795/1200</f>
        <v>0.66249999999999998</v>
      </c>
      <c r="G115" s="480"/>
      <c r="H115" s="480"/>
      <c r="I115" s="480"/>
      <c r="J115" s="480"/>
      <c r="K115" s="480"/>
      <c r="L115" s="480"/>
      <c r="M115" s="480"/>
      <c r="N115" s="480"/>
      <c r="O115" s="480"/>
      <c r="P115" s="480"/>
      <c r="Q115" s="480"/>
      <c r="R115" s="480"/>
      <c r="S115" s="480"/>
      <c r="T115" s="480"/>
      <c r="U115" s="480"/>
      <c r="V115" s="480"/>
      <c r="W115" s="480"/>
      <c r="X115" s="480"/>
      <c r="Y115" s="480"/>
      <c r="Z115" s="480"/>
      <c r="AA115" s="480"/>
      <c r="AB115" s="480"/>
      <c r="AC115" s="393">
        <f t="shared" si="28"/>
        <v>1.3049999999999999</v>
      </c>
      <c r="AD115" s="393">
        <f t="shared" si="29"/>
        <v>5.6950000000000003</v>
      </c>
      <c r="AE115" s="393">
        <f t="shared" si="30"/>
        <v>1.63</v>
      </c>
      <c r="AF115" s="393">
        <f t="shared" si="31"/>
        <v>-4.2910000000000004</v>
      </c>
      <c r="AG115" s="393">
        <f t="shared" si="32"/>
        <v>-100</v>
      </c>
      <c r="AH115" s="393" t="e">
        <f t="shared" si="33"/>
        <v>#DIV/0!</v>
      </c>
      <c r="AI115" s="393" t="e">
        <f t="shared" si="34"/>
        <v>#DIV/0!</v>
      </c>
      <c r="AJ115" s="393" t="e">
        <f t="shared" si="35"/>
        <v>#DIV/0!</v>
      </c>
      <c r="AK115" s="393" t="e">
        <f t="shared" si="36"/>
        <v>#DIV/0!</v>
      </c>
      <c r="AL115" s="393" t="e">
        <f t="shared" si="37"/>
        <v>#DIV/0!</v>
      </c>
      <c r="AM115" s="393" t="e">
        <f t="shared" si="38"/>
        <v>#DIV/0!</v>
      </c>
      <c r="AN115" s="393" t="e">
        <f t="shared" si="39"/>
        <v>#DIV/0!</v>
      </c>
      <c r="AO115" s="393" t="e">
        <f t="shared" si="40"/>
        <v>#DIV/0!</v>
      </c>
      <c r="AP115" s="393" t="e">
        <f t="shared" si="41"/>
        <v>#DIV/0!</v>
      </c>
      <c r="AQ115" s="393" t="e">
        <f t="shared" si="42"/>
        <v>#DIV/0!</v>
      </c>
      <c r="AR115" s="393" t="e">
        <f t="shared" si="43"/>
        <v>#DIV/0!</v>
      </c>
      <c r="AS115" s="393" t="e">
        <f t="shared" si="44"/>
        <v>#DIV/0!</v>
      </c>
      <c r="AT115" s="393" t="e">
        <f t="shared" si="45"/>
        <v>#DIV/0!</v>
      </c>
      <c r="AU115" s="393" t="e">
        <f t="shared" si="46"/>
        <v>#DIV/0!</v>
      </c>
      <c r="AV115" s="393" t="e">
        <f t="shared" si="47"/>
        <v>#DIV/0!</v>
      </c>
      <c r="AW115" s="393" t="e">
        <f t="shared" si="48"/>
        <v>#DIV/0!</v>
      </c>
      <c r="AX115" s="393" t="e">
        <f t="shared" si="49"/>
        <v>#DIV/0!</v>
      </c>
      <c r="AY115" s="393" t="e">
        <f t="shared" si="50"/>
        <v>#DIV/0!</v>
      </c>
      <c r="AZ115" s="393" t="e">
        <f t="shared" si="51"/>
        <v>#DIV/0!</v>
      </c>
      <c r="BA115" s="393" t="e">
        <f t="shared" si="52"/>
        <v>#DIV/0!</v>
      </c>
      <c r="BB115" s="393" t="e">
        <f t="shared" si="53"/>
        <v>#DIV/0!</v>
      </c>
    </row>
    <row r="116" spans="1:54" x14ac:dyDescent="0.25">
      <c r="A116" s="360" t="s">
        <v>2618</v>
      </c>
      <c r="B116" s="480"/>
      <c r="C116" s="480"/>
      <c r="D116" s="480"/>
      <c r="E116" s="480"/>
      <c r="F116" s="480"/>
      <c r="G116" s="480">
        <f>1109/2400</f>
        <v>0.46210000000000001</v>
      </c>
      <c r="H116" s="480"/>
      <c r="I116" s="480"/>
      <c r="J116" s="480"/>
      <c r="K116" s="480"/>
      <c r="L116" s="480"/>
      <c r="M116" s="480"/>
      <c r="N116" s="480"/>
      <c r="O116" s="480"/>
      <c r="P116" s="480"/>
      <c r="Q116" s="480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393" t="e">
        <f t="shared" si="28"/>
        <v>#DIV/0!</v>
      </c>
      <c r="AD116" s="393" t="e">
        <f t="shared" si="29"/>
        <v>#DIV/0!</v>
      </c>
      <c r="AE116" s="393" t="e">
        <f t="shared" si="30"/>
        <v>#DIV/0!</v>
      </c>
      <c r="AF116" s="393" t="e">
        <f t="shared" si="31"/>
        <v>#DIV/0!</v>
      </c>
      <c r="AG116" s="393" t="e">
        <f t="shared" si="32"/>
        <v>#DIV/0!</v>
      </c>
      <c r="AH116" s="393">
        <f t="shared" si="33"/>
        <v>-100</v>
      </c>
      <c r="AI116" s="393" t="e">
        <f t="shared" si="34"/>
        <v>#DIV/0!</v>
      </c>
      <c r="AJ116" s="393" t="e">
        <f t="shared" si="35"/>
        <v>#DIV/0!</v>
      </c>
      <c r="AK116" s="393" t="e">
        <f t="shared" si="36"/>
        <v>#DIV/0!</v>
      </c>
      <c r="AL116" s="393" t="e">
        <f t="shared" si="37"/>
        <v>#DIV/0!</v>
      </c>
      <c r="AM116" s="393" t="e">
        <f t="shared" si="38"/>
        <v>#DIV/0!</v>
      </c>
      <c r="AN116" s="393" t="e">
        <f t="shared" si="39"/>
        <v>#DIV/0!</v>
      </c>
      <c r="AO116" s="393" t="e">
        <f t="shared" si="40"/>
        <v>#DIV/0!</v>
      </c>
      <c r="AP116" s="393" t="e">
        <f t="shared" si="41"/>
        <v>#DIV/0!</v>
      </c>
      <c r="AQ116" s="393" t="e">
        <f t="shared" si="42"/>
        <v>#DIV/0!</v>
      </c>
      <c r="AR116" s="393" t="e">
        <f t="shared" si="43"/>
        <v>#DIV/0!</v>
      </c>
      <c r="AS116" s="393" t="e">
        <f t="shared" si="44"/>
        <v>#DIV/0!</v>
      </c>
      <c r="AT116" s="393" t="e">
        <f t="shared" si="45"/>
        <v>#DIV/0!</v>
      </c>
      <c r="AU116" s="393" t="e">
        <f t="shared" si="46"/>
        <v>#DIV/0!</v>
      </c>
      <c r="AV116" s="393" t="e">
        <f t="shared" si="47"/>
        <v>#DIV/0!</v>
      </c>
      <c r="AW116" s="393" t="e">
        <f t="shared" si="48"/>
        <v>#DIV/0!</v>
      </c>
      <c r="AX116" s="393" t="e">
        <f t="shared" si="49"/>
        <v>#DIV/0!</v>
      </c>
      <c r="AY116" s="393" t="e">
        <f t="shared" si="50"/>
        <v>#DIV/0!</v>
      </c>
      <c r="AZ116" s="393" t="e">
        <f t="shared" si="51"/>
        <v>#DIV/0!</v>
      </c>
      <c r="BA116" s="393" t="e">
        <f t="shared" si="52"/>
        <v>#DIV/0!</v>
      </c>
      <c r="BB116" s="393" t="e">
        <f t="shared" si="53"/>
        <v>#DIV/0!</v>
      </c>
    </row>
    <row r="117" spans="1:54" x14ac:dyDescent="0.25">
      <c r="A117" s="355" t="s">
        <v>3098</v>
      </c>
      <c r="B117" s="480">
        <f>685/1800</f>
        <v>0.38059999999999999</v>
      </c>
      <c r="C117" s="480">
        <f>844/1800</f>
        <v>0.46889999999999998</v>
      </c>
      <c r="D117" s="480">
        <f>908/1800</f>
        <v>0.50439999999999996</v>
      </c>
      <c r="E117" s="480">
        <f>905/1800</f>
        <v>0.50280000000000002</v>
      </c>
      <c r="F117" s="480">
        <f>678/1200</f>
        <v>0.56499999999999995</v>
      </c>
      <c r="G117" s="480">
        <f>1232/2400</f>
        <v>0.51329999999999998</v>
      </c>
      <c r="H117" s="480">
        <f>574/1200</f>
        <v>0.4783</v>
      </c>
      <c r="I117" s="480">
        <f>647/1200</f>
        <v>0.53920000000000001</v>
      </c>
      <c r="J117" s="480"/>
      <c r="K117" s="480"/>
      <c r="L117" s="480"/>
      <c r="M117" s="480"/>
      <c r="N117" s="480"/>
      <c r="O117" s="480"/>
      <c r="P117" s="480"/>
      <c r="Q117" s="480"/>
      <c r="R117" s="480"/>
      <c r="S117" s="480"/>
      <c r="T117" s="480"/>
      <c r="U117" s="480"/>
      <c r="V117" s="480"/>
      <c r="W117" s="480"/>
      <c r="X117" s="480"/>
      <c r="Y117" s="480"/>
      <c r="Z117" s="480"/>
      <c r="AA117" s="480"/>
      <c r="AB117" s="480"/>
      <c r="AC117" s="393">
        <f t="shared" si="28"/>
        <v>23.2</v>
      </c>
      <c r="AD117" s="393">
        <f t="shared" si="29"/>
        <v>7.5709999999999997</v>
      </c>
      <c r="AE117" s="393">
        <f t="shared" si="30"/>
        <v>-0.317</v>
      </c>
      <c r="AF117" s="393">
        <f t="shared" si="31"/>
        <v>12.371</v>
      </c>
      <c r="AG117" s="393">
        <f t="shared" si="32"/>
        <v>-9.15</v>
      </c>
      <c r="AH117" s="393">
        <f t="shared" si="33"/>
        <v>-6.819</v>
      </c>
      <c r="AI117" s="393">
        <f t="shared" si="34"/>
        <v>12.733000000000001</v>
      </c>
      <c r="AJ117" s="393">
        <f t="shared" si="35"/>
        <v>-100</v>
      </c>
      <c r="AK117" s="393" t="e">
        <f t="shared" si="36"/>
        <v>#DIV/0!</v>
      </c>
      <c r="AL117" s="393" t="e">
        <f t="shared" si="37"/>
        <v>#DIV/0!</v>
      </c>
      <c r="AM117" s="393" t="e">
        <f t="shared" si="38"/>
        <v>#DIV/0!</v>
      </c>
      <c r="AN117" s="393" t="e">
        <f t="shared" si="39"/>
        <v>#DIV/0!</v>
      </c>
      <c r="AO117" s="393" t="e">
        <f t="shared" si="40"/>
        <v>#DIV/0!</v>
      </c>
      <c r="AP117" s="393" t="e">
        <f t="shared" si="41"/>
        <v>#DIV/0!</v>
      </c>
      <c r="AQ117" s="393" t="e">
        <f t="shared" si="42"/>
        <v>#DIV/0!</v>
      </c>
      <c r="AR117" s="393" t="e">
        <f t="shared" si="43"/>
        <v>#DIV/0!</v>
      </c>
      <c r="AS117" s="393" t="e">
        <f t="shared" si="44"/>
        <v>#DIV/0!</v>
      </c>
      <c r="AT117" s="393" t="e">
        <f t="shared" si="45"/>
        <v>#DIV/0!</v>
      </c>
      <c r="AU117" s="393" t="e">
        <f t="shared" si="46"/>
        <v>#DIV/0!</v>
      </c>
      <c r="AV117" s="393" t="e">
        <f t="shared" si="47"/>
        <v>#DIV/0!</v>
      </c>
      <c r="AW117" s="393" t="e">
        <f t="shared" si="48"/>
        <v>#DIV/0!</v>
      </c>
      <c r="AX117" s="393" t="e">
        <f t="shared" si="49"/>
        <v>#DIV/0!</v>
      </c>
      <c r="AY117" s="393" t="e">
        <f t="shared" si="50"/>
        <v>#DIV/0!</v>
      </c>
      <c r="AZ117" s="393" t="e">
        <f t="shared" si="51"/>
        <v>#DIV/0!</v>
      </c>
      <c r="BA117" s="393" t="e">
        <f t="shared" si="52"/>
        <v>#DIV/0!</v>
      </c>
      <c r="BB117" s="393" t="e">
        <f t="shared" si="53"/>
        <v>#DIV/0!</v>
      </c>
    </row>
    <row r="118" spans="1:54" x14ac:dyDescent="0.25">
      <c r="A118" s="361" t="s">
        <v>65</v>
      </c>
      <c r="B118" s="480"/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>
        <f>1037/1800</f>
        <v>0.57609999999999995</v>
      </c>
      <c r="V118" s="480"/>
      <c r="W118" s="480"/>
      <c r="X118" s="480"/>
      <c r="Y118" s="480"/>
      <c r="Z118" s="480"/>
      <c r="AA118" s="480"/>
      <c r="AB118" s="480"/>
      <c r="AC118" s="393" t="e">
        <f t="shared" si="28"/>
        <v>#DIV/0!</v>
      </c>
      <c r="AD118" s="393" t="e">
        <f t="shared" si="29"/>
        <v>#DIV/0!</v>
      </c>
      <c r="AE118" s="393" t="e">
        <f t="shared" si="30"/>
        <v>#DIV/0!</v>
      </c>
      <c r="AF118" s="393" t="e">
        <f t="shared" si="31"/>
        <v>#DIV/0!</v>
      </c>
      <c r="AG118" s="393" t="e">
        <f t="shared" si="32"/>
        <v>#DIV/0!</v>
      </c>
      <c r="AH118" s="393" t="e">
        <f t="shared" si="33"/>
        <v>#DIV/0!</v>
      </c>
      <c r="AI118" s="393" t="e">
        <f t="shared" si="34"/>
        <v>#DIV/0!</v>
      </c>
      <c r="AJ118" s="393" t="e">
        <f t="shared" si="35"/>
        <v>#DIV/0!</v>
      </c>
      <c r="AK118" s="393" t="e">
        <f t="shared" si="36"/>
        <v>#DIV/0!</v>
      </c>
      <c r="AL118" s="393" t="e">
        <f t="shared" si="37"/>
        <v>#DIV/0!</v>
      </c>
      <c r="AM118" s="393" t="e">
        <f t="shared" si="38"/>
        <v>#DIV/0!</v>
      </c>
      <c r="AN118" s="393" t="e">
        <f t="shared" si="39"/>
        <v>#DIV/0!</v>
      </c>
      <c r="AO118" s="393" t="e">
        <f t="shared" si="40"/>
        <v>#DIV/0!</v>
      </c>
      <c r="AP118" s="393" t="e">
        <f t="shared" si="41"/>
        <v>#DIV/0!</v>
      </c>
      <c r="AQ118" s="393" t="e">
        <f t="shared" si="42"/>
        <v>#DIV/0!</v>
      </c>
      <c r="AR118" s="393" t="e">
        <f t="shared" si="43"/>
        <v>#DIV/0!</v>
      </c>
      <c r="AS118" s="393" t="e">
        <f t="shared" si="44"/>
        <v>#DIV/0!</v>
      </c>
      <c r="AT118" s="393" t="e">
        <f t="shared" si="45"/>
        <v>#DIV/0!</v>
      </c>
      <c r="AU118" s="393" t="e">
        <f t="shared" si="46"/>
        <v>#DIV/0!</v>
      </c>
      <c r="AV118" s="393">
        <f t="shared" si="47"/>
        <v>-100</v>
      </c>
      <c r="AW118" s="393" t="e">
        <f t="shared" si="48"/>
        <v>#DIV/0!</v>
      </c>
      <c r="AX118" s="393" t="e">
        <f t="shared" si="49"/>
        <v>#DIV/0!</v>
      </c>
      <c r="AY118" s="393" t="e">
        <f t="shared" si="50"/>
        <v>#DIV/0!</v>
      </c>
      <c r="AZ118" s="393" t="e">
        <f t="shared" si="51"/>
        <v>#DIV/0!</v>
      </c>
      <c r="BA118" s="393" t="e">
        <f t="shared" si="52"/>
        <v>#DIV/0!</v>
      </c>
      <c r="BB118" s="393" t="e">
        <f t="shared" si="53"/>
        <v>#DIV/0!</v>
      </c>
    </row>
    <row r="119" spans="1:54" x14ac:dyDescent="0.25">
      <c r="A119" s="361" t="s">
        <v>4006</v>
      </c>
      <c r="B119" s="480"/>
      <c r="C119" s="480"/>
      <c r="D119" s="480"/>
      <c r="E119" s="48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0"/>
      <c r="T119" s="480">
        <f>604/1200</f>
        <v>0.50329999999999997</v>
      </c>
      <c r="U119" s="480"/>
      <c r="V119" s="480"/>
      <c r="W119" s="480"/>
      <c r="X119" s="480"/>
      <c r="Y119" s="480"/>
      <c r="Z119" s="480"/>
      <c r="AA119" s="480"/>
      <c r="AB119" s="480"/>
      <c r="AC119" s="393" t="e">
        <f t="shared" si="28"/>
        <v>#DIV/0!</v>
      </c>
      <c r="AD119" s="393" t="e">
        <f t="shared" si="29"/>
        <v>#DIV/0!</v>
      </c>
      <c r="AE119" s="393" t="e">
        <f t="shared" si="30"/>
        <v>#DIV/0!</v>
      </c>
      <c r="AF119" s="393" t="e">
        <f t="shared" si="31"/>
        <v>#DIV/0!</v>
      </c>
      <c r="AG119" s="393" t="e">
        <f t="shared" si="32"/>
        <v>#DIV/0!</v>
      </c>
      <c r="AH119" s="393" t="e">
        <f t="shared" si="33"/>
        <v>#DIV/0!</v>
      </c>
      <c r="AI119" s="393" t="e">
        <f t="shared" si="34"/>
        <v>#DIV/0!</v>
      </c>
      <c r="AJ119" s="393" t="e">
        <f t="shared" si="35"/>
        <v>#DIV/0!</v>
      </c>
      <c r="AK119" s="393" t="e">
        <f t="shared" si="36"/>
        <v>#DIV/0!</v>
      </c>
      <c r="AL119" s="393" t="e">
        <f t="shared" si="37"/>
        <v>#DIV/0!</v>
      </c>
      <c r="AM119" s="393" t="e">
        <f t="shared" si="38"/>
        <v>#DIV/0!</v>
      </c>
      <c r="AN119" s="393" t="e">
        <f t="shared" si="39"/>
        <v>#DIV/0!</v>
      </c>
      <c r="AO119" s="393" t="e">
        <f t="shared" si="40"/>
        <v>#DIV/0!</v>
      </c>
      <c r="AP119" s="393" t="e">
        <f t="shared" si="41"/>
        <v>#DIV/0!</v>
      </c>
      <c r="AQ119" s="393" t="e">
        <f t="shared" si="42"/>
        <v>#DIV/0!</v>
      </c>
      <c r="AR119" s="393" t="e">
        <f t="shared" si="43"/>
        <v>#DIV/0!</v>
      </c>
      <c r="AS119" s="393" t="e">
        <f t="shared" si="44"/>
        <v>#DIV/0!</v>
      </c>
      <c r="AT119" s="393" t="e">
        <f t="shared" si="45"/>
        <v>#DIV/0!</v>
      </c>
      <c r="AU119" s="393">
        <f t="shared" si="46"/>
        <v>-100</v>
      </c>
      <c r="AV119" s="393" t="e">
        <f t="shared" si="47"/>
        <v>#DIV/0!</v>
      </c>
      <c r="AW119" s="393" t="e">
        <f t="shared" si="48"/>
        <v>#DIV/0!</v>
      </c>
      <c r="AX119" s="393" t="e">
        <f t="shared" si="49"/>
        <v>#DIV/0!</v>
      </c>
      <c r="AY119" s="393" t="e">
        <f t="shared" si="50"/>
        <v>#DIV/0!</v>
      </c>
      <c r="AZ119" s="393" t="e">
        <f t="shared" si="51"/>
        <v>#DIV/0!</v>
      </c>
      <c r="BA119" s="393" t="e">
        <f t="shared" si="52"/>
        <v>#DIV/0!</v>
      </c>
      <c r="BB119" s="393" t="e">
        <f t="shared" si="53"/>
        <v>#DIV/0!</v>
      </c>
    </row>
    <row r="120" spans="1:54" x14ac:dyDescent="0.25">
      <c r="A120" s="361" t="s">
        <v>1583</v>
      </c>
      <c r="B120" s="480"/>
      <c r="C120" s="480"/>
      <c r="D120" s="480"/>
      <c r="E120" s="480"/>
      <c r="F120" s="480"/>
      <c r="G120" s="480"/>
      <c r="H120" s="480"/>
      <c r="I120" s="480"/>
      <c r="J120" s="480"/>
      <c r="K120" s="480"/>
      <c r="L120" s="480"/>
      <c r="M120" s="480"/>
      <c r="N120" s="480"/>
      <c r="O120" s="480"/>
      <c r="P120" s="480"/>
      <c r="Q120" s="480">
        <f>1060/1800</f>
        <v>0.58889999999999998</v>
      </c>
      <c r="R120" s="480"/>
      <c r="S120" s="480"/>
      <c r="T120" s="480"/>
      <c r="U120" s="480"/>
      <c r="V120" s="480"/>
      <c r="W120" s="480"/>
      <c r="X120" s="480"/>
      <c r="Y120" s="480"/>
      <c r="Z120" s="480"/>
      <c r="AA120" s="480"/>
      <c r="AB120" s="480"/>
      <c r="AC120" s="393" t="e">
        <f t="shared" si="28"/>
        <v>#DIV/0!</v>
      </c>
      <c r="AD120" s="393" t="e">
        <f t="shared" si="29"/>
        <v>#DIV/0!</v>
      </c>
      <c r="AE120" s="393" t="e">
        <f t="shared" si="30"/>
        <v>#DIV/0!</v>
      </c>
      <c r="AF120" s="393" t="e">
        <f t="shared" si="31"/>
        <v>#DIV/0!</v>
      </c>
      <c r="AG120" s="393" t="e">
        <f t="shared" si="32"/>
        <v>#DIV/0!</v>
      </c>
      <c r="AH120" s="393" t="e">
        <f t="shared" si="33"/>
        <v>#DIV/0!</v>
      </c>
      <c r="AI120" s="393" t="e">
        <f t="shared" si="34"/>
        <v>#DIV/0!</v>
      </c>
      <c r="AJ120" s="393" t="e">
        <f t="shared" si="35"/>
        <v>#DIV/0!</v>
      </c>
      <c r="AK120" s="393" t="e">
        <f t="shared" si="36"/>
        <v>#DIV/0!</v>
      </c>
      <c r="AL120" s="393" t="e">
        <f t="shared" si="37"/>
        <v>#DIV/0!</v>
      </c>
      <c r="AM120" s="393" t="e">
        <f t="shared" si="38"/>
        <v>#DIV/0!</v>
      </c>
      <c r="AN120" s="393" t="e">
        <f t="shared" si="39"/>
        <v>#DIV/0!</v>
      </c>
      <c r="AO120" s="393" t="e">
        <f t="shared" si="40"/>
        <v>#DIV/0!</v>
      </c>
      <c r="AP120" s="393" t="e">
        <f t="shared" si="41"/>
        <v>#DIV/0!</v>
      </c>
      <c r="AQ120" s="393" t="e">
        <f t="shared" si="42"/>
        <v>#DIV/0!</v>
      </c>
      <c r="AR120" s="393">
        <f t="shared" si="43"/>
        <v>-100</v>
      </c>
      <c r="AS120" s="393" t="e">
        <f t="shared" si="44"/>
        <v>#DIV/0!</v>
      </c>
      <c r="AT120" s="393" t="e">
        <f t="shared" si="45"/>
        <v>#DIV/0!</v>
      </c>
      <c r="AU120" s="393" t="e">
        <f t="shared" si="46"/>
        <v>#DIV/0!</v>
      </c>
      <c r="AV120" s="393" t="e">
        <f t="shared" si="47"/>
        <v>#DIV/0!</v>
      </c>
      <c r="AW120" s="393" t="e">
        <f t="shared" si="48"/>
        <v>#DIV/0!</v>
      </c>
      <c r="AX120" s="393" t="e">
        <f t="shared" si="49"/>
        <v>#DIV/0!</v>
      </c>
      <c r="AY120" s="393" t="e">
        <f t="shared" si="50"/>
        <v>#DIV/0!</v>
      </c>
      <c r="AZ120" s="393" t="e">
        <f t="shared" si="51"/>
        <v>#DIV/0!</v>
      </c>
      <c r="BA120" s="393" t="e">
        <f t="shared" si="52"/>
        <v>#DIV/0!</v>
      </c>
      <c r="BB120" s="393" t="e">
        <f t="shared" si="53"/>
        <v>#DIV/0!</v>
      </c>
    </row>
    <row r="121" spans="1:54" x14ac:dyDescent="0.25">
      <c r="A121" s="565" t="s">
        <v>1909</v>
      </c>
      <c r="B121" s="480">
        <f>848/1800</f>
        <v>0.47110000000000002</v>
      </c>
      <c r="C121" s="480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  <c r="W121" s="480"/>
      <c r="X121" s="480"/>
      <c r="Y121" s="480"/>
      <c r="Z121" s="480"/>
      <c r="AA121" s="480"/>
      <c r="AB121" s="480"/>
      <c r="AC121" s="393">
        <f t="shared" si="28"/>
        <v>-100</v>
      </c>
      <c r="AD121" s="393" t="e">
        <f t="shared" si="29"/>
        <v>#DIV/0!</v>
      </c>
      <c r="AE121" s="393" t="e">
        <f t="shared" si="30"/>
        <v>#DIV/0!</v>
      </c>
      <c r="AF121" s="393" t="e">
        <f t="shared" si="31"/>
        <v>#DIV/0!</v>
      </c>
      <c r="AG121" s="393" t="e">
        <f t="shared" si="32"/>
        <v>#DIV/0!</v>
      </c>
      <c r="AH121" s="393" t="e">
        <f t="shared" si="33"/>
        <v>#DIV/0!</v>
      </c>
      <c r="AI121" s="393" t="e">
        <f t="shared" si="34"/>
        <v>#DIV/0!</v>
      </c>
      <c r="AJ121" s="393" t="e">
        <f t="shared" si="35"/>
        <v>#DIV/0!</v>
      </c>
      <c r="AK121" s="393" t="e">
        <f t="shared" si="36"/>
        <v>#DIV/0!</v>
      </c>
      <c r="AL121" s="393" t="e">
        <f t="shared" si="37"/>
        <v>#DIV/0!</v>
      </c>
      <c r="AM121" s="393" t="e">
        <f t="shared" si="38"/>
        <v>#DIV/0!</v>
      </c>
      <c r="AN121" s="393" t="e">
        <f t="shared" si="39"/>
        <v>#DIV/0!</v>
      </c>
      <c r="AO121" s="393" t="e">
        <f t="shared" si="40"/>
        <v>#DIV/0!</v>
      </c>
      <c r="AP121" s="393" t="e">
        <f t="shared" si="41"/>
        <v>#DIV/0!</v>
      </c>
      <c r="AQ121" s="393" t="e">
        <f t="shared" si="42"/>
        <v>#DIV/0!</v>
      </c>
      <c r="AR121" s="393" t="e">
        <f t="shared" si="43"/>
        <v>#DIV/0!</v>
      </c>
      <c r="AS121" s="393" t="e">
        <f t="shared" si="44"/>
        <v>#DIV/0!</v>
      </c>
      <c r="AT121" s="393" t="e">
        <f t="shared" si="45"/>
        <v>#DIV/0!</v>
      </c>
      <c r="AU121" s="393" t="e">
        <f t="shared" si="46"/>
        <v>#DIV/0!</v>
      </c>
      <c r="AV121" s="393" t="e">
        <f t="shared" si="47"/>
        <v>#DIV/0!</v>
      </c>
      <c r="AW121" s="393" t="e">
        <f t="shared" si="48"/>
        <v>#DIV/0!</v>
      </c>
      <c r="AX121" s="393" t="e">
        <f t="shared" si="49"/>
        <v>#DIV/0!</v>
      </c>
      <c r="AY121" s="393" t="e">
        <f t="shared" si="50"/>
        <v>#DIV/0!</v>
      </c>
      <c r="AZ121" s="393" t="e">
        <f t="shared" si="51"/>
        <v>#DIV/0!</v>
      </c>
      <c r="BA121" s="393" t="e">
        <f t="shared" si="52"/>
        <v>#DIV/0!</v>
      </c>
      <c r="BB121" s="393" t="e">
        <f t="shared" si="53"/>
        <v>#DIV/0!</v>
      </c>
    </row>
    <row r="122" spans="1:54" x14ac:dyDescent="0.25">
      <c r="A122" s="365" t="s">
        <v>1205</v>
      </c>
      <c r="B122" s="480">
        <f>842/1800</f>
        <v>0.46779999999999999</v>
      </c>
      <c r="C122" s="480"/>
      <c r="D122" s="480"/>
      <c r="E122" s="480"/>
      <c r="F122" s="480"/>
      <c r="G122" s="480"/>
      <c r="H122" s="480"/>
      <c r="I122" s="480"/>
      <c r="J122" s="480"/>
      <c r="K122" s="480"/>
      <c r="L122" s="480"/>
      <c r="M122" s="480"/>
      <c r="N122" s="480"/>
      <c r="O122" s="480"/>
      <c r="P122" s="480"/>
      <c r="Q122" s="480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393">
        <f t="shared" si="28"/>
        <v>-100</v>
      </c>
      <c r="AD122" s="393" t="e">
        <f t="shared" si="29"/>
        <v>#DIV/0!</v>
      </c>
      <c r="AE122" s="393" t="e">
        <f t="shared" si="30"/>
        <v>#DIV/0!</v>
      </c>
      <c r="AF122" s="393" t="e">
        <f t="shared" si="31"/>
        <v>#DIV/0!</v>
      </c>
      <c r="AG122" s="393" t="e">
        <f t="shared" si="32"/>
        <v>#DIV/0!</v>
      </c>
      <c r="AH122" s="393" t="e">
        <f t="shared" si="33"/>
        <v>#DIV/0!</v>
      </c>
      <c r="AI122" s="393" t="e">
        <f t="shared" si="34"/>
        <v>#DIV/0!</v>
      </c>
      <c r="AJ122" s="393" t="e">
        <f t="shared" si="35"/>
        <v>#DIV/0!</v>
      </c>
      <c r="AK122" s="393" t="e">
        <f t="shared" si="36"/>
        <v>#DIV/0!</v>
      </c>
      <c r="AL122" s="393" t="e">
        <f t="shared" si="37"/>
        <v>#DIV/0!</v>
      </c>
      <c r="AM122" s="393" t="e">
        <f t="shared" si="38"/>
        <v>#DIV/0!</v>
      </c>
      <c r="AN122" s="393" t="e">
        <f t="shared" si="39"/>
        <v>#DIV/0!</v>
      </c>
      <c r="AO122" s="393" t="e">
        <f t="shared" si="40"/>
        <v>#DIV/0!</v>
      </c>
      <c r="AP122" s="393" t="e">
        <f t="shared" si="41"/>
        <v>#DIV/0!</v>
      </c>
      <c r="AQ122" s="393" t="e">
        <f t="shared" si="42"/>
        <v>#DIV/0!</v>
      </c>
      <c r="AR122" s="393" t="e">
        <f t="shared" si="43"/>
        <v>#DIV/0!</v>
      </c>
      <c r="AS122" s="393" t="e">
        <f t="shared" si="44"/>
        <v>#DIV/0!</v>
      </c>
      <c r="AT122" s="393" t="e">
        <f t="shared" si="45"/>
        <v>#DIV/0!</v>
      </c>
      <c r="AU122" s="393" t="e">
        <f t="shared" si="46"/>
        <v>#DIV/0!</v>
      </c>
      <c r="AV122" s="393" t="e">
        <f t="shared" si="47"/>
        <v>#DIV/0!</v>
      </c>
      <c r="AW122" s="393" t="e">
        <f t="shared" si="48"/>
        <v>#DIV/0!</v>
      </c>
      <c r="AX122" s="393" t="e">
        <f t="shared" si="49"/>
        <v>#DIV/0!</v>
      </c>
      <c r="AY122" s="393" t="e">
        <f t="shared" si="50"/>
        <v>#DIV/0!</v>
      </c>
      <c r="AZ122" s="393" t="e">
        <f t="shared" si="51"/>
        <v>#DIV/0!</v>
      </c>
      <c r="BA122" s="393" t="e">
        <f t="shared" si="52"/>
        <v>#DIV/0!</v>
      </c>
      <c r="BB122" s="393" t="e">
        <f t="shared" si="53"/>
        <v>#DIV/0!</v>
      </c>
    </row>
    <row r="123" spans="1:54" x14ac:dyDescent="0.25">
      <c r="A123" s="355" t="s">
        <v>2759</v>
      </c>
      <c r="B123" s="480"/>
      <c r="C123" s="480"/>
      <c r="D123" s="480"/>
      <c r="E123" s="480"/>
      <c r="F123" s="480"/>
      <c r="G123" s="480"/>
      <c r="H123" s="480"/>
      <c r="I123" s="480">
        <f>785/1200</f>
        <v>0.6542</v>
      </c>
      <c r="J123" s="480">
        <f>786/1200</f>
        <v>0.65500000000000003</v>
      </c>
      <c r="K123" s="480">
        <f>863/1200</f>
        <v>0.71919999999999995</v>
      </c>
      <c r="L123" s="480">
        <f>848/1200</f>
        <v>0.70669999999999999</v>
      </c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393" t="e">
        <f t="shared" si="28"/>
        <v>#DIV/0!</v>
      </c>
      <c r="AD123" s="393" t="e">
        <f t="shared" si="29"/>
        <v>#DIV/0!</v>
      </c>
      <c r="AE123" s="393" t="e">
        <f t="shared" si="30"/>
        <v>#DIV/0!</v>
      </c>
      <c r="AF123" s="393" t="e">
        <f t="shared" si="31"/>
        <v>#DIV/0!</v>
      </c>
      <c r="AG123" s="393" t="e">
        <f t="shared" si="32"/>
        <v>#DIV/0!</v>
      </c>
      <c r="AH123" s="393" t="e">
        <f t="shared" si="33"/>
        <v>#DIV/0!</v>
      </c>
      <c r="AI123" s="393" t="e">
        <f t="shared" si="34"/>
        <v>#DIV/0!</v>
      </c>
      <c r="AJ123" s="393">
        <f t="shared" si="35"/>
        <v>0.122</v>
      </c>
      <c r="AK123" s="393">
        <f t="shared" si="36"/>
        <v>9.8019999999999996</v>
      </c>
      <c r="AL123" s="393">
        <f t="shared" si="37"/>
        <v>-1.738</v>
      </c>
      <c r="AM123" s="393">
        <f t="shared" si="38"/>
        <v>-100</v>
      </c>
      <c r="AN123" s="393" t="e">
        <f t="shared" si="39"/>
        <v>#DIV/0!</v>
      </c>
      <c r="AO123" s="393" t="e">
        <f t="shared" si="40"/>
        <v>#DIV/0!</v>
      </c>
      <c r="AP123" s="393" t="e">
        <f t="shared" si="41"/>
        <v>#DIV/0!</v>
      </c>
      <c r="AQ123" s="393" t="e">
        <f t="shared" si="42"/>
        <v>#DIV/0!</v>
      </c>
      <c r="AR123" s="393" t="e">
        <f t="shared" si="43"/>
        <v>#DIV/0!</v>
      </c>
      <c r="AS123" s="393" t="e">
        <f t="shared" si="44"/>
        <v>#DIV/0!</v>
      </c>
      <c r="AT123" s="393" t="e">
        <f t="shared" si="45"/>
        <v>#DIV/0!</v>
      </c>
      <c r="AU123" s="393" t="e">
        <f t="shared" si="46"/>
        <v>#DIV/0!</v>
      </c>
      <c r="AV123" s="393" t="e">
        <f t="shared" si="47"/>
        <v>#DIV/0!</v>
      </c>
      <c r="AW123" s="393" t="e">
        <f t="shared" si="48"/>
        <v>#DIV/0!</v>
      </c>
      <c r="AX123" s="393" t="e">
        <f t="shared" si="49"/>
        <v>#DIV/0!</v>
      </c>
      <c r="AY123" s="393" t="e">
        <f t="shared" si="50"/>
        <v>#DIV/0!</v>
      </c>
      <c r="AZ123" s="393" t="e">
        <f t="shared" si="51"/>
        <v>#DIV/0!</v>
      </c>
      <c r="BA123" s="393" t="e">
        <f t="shared" si="52"/>
        <v>#DIV/0!</v>
      </c>
      <c r="BB123" s="393" t="e">
        <f t="shared" si="53"/>
        <v>#DIV/0!</v>
      </c>
    </row>
    <row r="124" spans="1:54" x14ac:dyDescent="0.25">
      <c r="A124" s="360" t="s">
        <v>3572</v>
      </c>
      <c r="B124" s="480"/>
      <c r="C124" s="480"/>
      <c r="D124" s="480"/>
      <c r="E124" s="480"/>
      <c r="F124" s="480"/>
      <c r="G124" s="480">
        <f>1659/2400</f>
        <v>0.69130000000000003</v>
      </c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393" t="e">
        <f t="shared" si="28"/>
        <v>#DIV/0!</v>
      </c>
      <c r="AD124" s="393" t="e">
        <f t="shared" si="29"/>
        <v>#DIV/0!</v>
      </c>
      <c r="AE124" s="393" t="e">
        <f t="shared" si="30"/>
        <v>#DIV/0!</v>
      </c>
      <c r="AF124" s="393" t="e">
        <f t="shared" si="31"/>
        <v>#DIV/0!</v>
      </c>
      <c r="AG124" s="393" t="e">
        <f t="shared" si="32"/>
        <v>#DIV/0!</v>
      </c>
      <c r="AH124" s="393">
        <f t="shared" si="33"/>
        <v>-100</v>
      </c>
      <c r="AI124" s="393" t="e">
        <f t="shared" si="34"/>
        <v>#DIV/0!</v>
      </c>
      <c r="AJ124" s="393" t="e">
        <f t="shared" si="35"/>
        <v>#DIV/0!</v>
      </c>
      <c r="AK124" s="393" t="e">
        <f t="shared" si="36"/>
        <v>#DIV/0!</v>
      </c>
      <c r="AL124" s="393" t="e">
        <f t="shared" si="37"/>
        <v>#DIV/0!</v>
      </c>
      <c r="AM124" s="393" t="e">
        <f t="shared" si="38"/>
        <v>#DIV/0!</v>
      </c>
      <c r="AN124" s="393" t="e">
        <f t="shared" si="39"/>
        <v>#DIV/0!</v>
      </c>
      <c r="AO124" s="393" t="e">
        <f t="shared" si="40"/>
        <v>#DIV/0!</v>
      </c>
      <c r="AP124" s="393" t="e">
        <f t="shared" si="41"/>
        <v>#DIV/0!</v>
      </c>
      <c r="AQ124" s="393" t="e">
        <f t="shared" si="42"/>
        <v>#DIV/0!</v>
      </c>
      <c r="AR124" s="393" t="e">
        <f t="shared" si="43"/>
        <v>#DIV/0!</v>
      </c>
      <c r="AS124" s="393" t="e">
        <f t="shared" si="44"/>
        <v>#DIV/0!</v>
      </c>
      <c r="AT124" s="393" t="e">
        <f t="shared" si="45"/>
        <v>#DIV/0!</v>
      </c>
      <c r="AU124" s="393" t="e">
        <f t="shared" si="46"/>
        <v>#DIV/0!</v>
      </c>
      <c r="AV124" s="393" t="e">
        <f t="shared" si="47"/>
        <v>#DIV/0!</v>
      </c>
      <c r="AW124" s="393" t="e">
        <f t="shared" si="48"/>
        <v>#DIV/0!</v>
      </c>
      <c r="AX124" s="393" t="e">
        <f t="shared" si="49"/>
        <v>#DIV/0!</v>
      </c>
      <c r="AY124" s="393" t="e">
        <f t="shared" si="50"/>
        <v>#DIV/0!</v>
      </c>
      <c r="AZ124" s="393" t="e">
        <f t="shared" si="51"/>
        <v>#DIV/0!</v>
      </c>
      <c r="BA124" s="393" t="e">
        <f t="shared" si="52"/>
        <v>#DIV/0!</v>
      </c>
      <c r="BB124" s="393" t="e">
        <f t="shared" si="53"/>
        <v>#DIV/0!</v>
      </c>
    </row>
    <row r="125" spans="1:54" x14ac:dyDescent="0.25">
      <c r="A125" s="361" t="s">
        <v>494</v>
      </c>
      <c r="B125" s="480"/>
      <c r="C125" s="480"/>
      <c r="D125" s="480"/>
      <c r="E125" s="480"/>
      <c r="F125" s="480"/>
      <c r="G125" s="480"/>
      <c r="H125" s="480"/>
      <c r="I125" s="480"/>
      <c r="J125" s="480"/>
      <c r="K125" s="480"/>
      <c r="L125" s="480"/>
      <c r="M125" s="480"/>
      <c r="N125" s="480"/>
      <c r="O125" s="480"/>
      <c r="P125" s="480"/>
      <c r="Q125" s="480"/>
      <c r="R125" s="480"/>
      <c r="S125" s="480">
        <f>974/1800</f>
        <v>0.54110000000000003</v>
      </c>
      <c r="T125" s="480">
        <f>671/1200</f>
        <v>0.55920000000000003</v>
      </c>
      <c r="U125" s="480"/>
      <c r="V125" s="480"/>
      <c r="W125" s="480"/>
      <c r="X125" s="480"/>
      <c r="Y125" s="480"/>
      <c r="Z125" s="480"/>
      <c r="AA125" s="480"/>
      <c r="AB125" s="480"/>
      <c r="AC125" s="393" t="e">
        <f t="shared" si="28"/>
        <v>#DIV/0!</v>
      </c>
      <c r="AD125" s="393" t="e">
        <f t="shared" si="29"/>
        <v>#DIV/0!</v>
      </c>
      <c r="AE125" s="393" t="e">
        <f t="shared" si="30"/>
        <v>#DIV/0!</v>
      </c>
      <c r="AF125" s="393" t="e">
        <f t="shared" si="31"/>
        <v>#DIV/0!</v>
      </c>
      <c r="AG125" s="393" t="e">
        <f t="shared" si="32"/>
        <v>#DIV/0!</v>
      </c>
      <c r="AH125" s="393" t="e">
        <f t="shared" si="33"/>
        <v>#DIV/0!</v>
      </c>
      <c r="AI125" s="393" t="e">
        <f t="shared" si="34"/>
        <v>#DIV/0!</v>
      </c>
      <c r="AJ125" s="393" t="e">
        <f t="shared" si="35"/>
        <v>#DIV/0!</v>
      </c>
      <c r="AK125" s="393" t="e">
        <f t="shared" si="36"/>
        <v>#DIV/0!</v>
      </c>
      <c r="AL125" s="393" t="e">
        <f t="shared" si="37"/>
        <v>#DIV/0!</v>
      </c>
      <c r="AM125" s="393" t="e">
        <f t="shared" si="38"/>
        <v>#DIV/0!</v>
      </c>
      <c r="AN125" s="393" t="e">
        <f t="shared" si="39"/>
        <v>#DIV/0!</v>
      </c>
      <c r="AO125" s="393" t="e">
        <f t="shared" si="40"/>
        <v>#DIV/0!</v>
      </c>
      <c r="AP125" s="393" t="e">
        <f t="shared" si="41"/>
        <v>#DIV/0!</v>
      </c>
      <c r="AQ125" s="393" t="e">
        <f t="shared" si="42"/>
        <v>#DIV/0!</v>
      </c>
      <c r="AR125" s="393" t="e">
        <f t="shared" si="43"/>
        <v>#DIV/0!</v>
      </c>
      <c r="AS125" s="393" t="e">
        <f t="shared" si="44"/>
        <v>#DIV/0!</v>
      </c>
      <c r="AT125" s="393">
        <f t="shared" si="45"/>
        <v>3.3450000000000002</v>
      </c>
      <c r="AU125" s="393">
        <f t="shared" si="46"/>
        <v>-100</v>
      </c>
      <c r="AV125" s="393" t="e">
        <f t="shared" si="47"/>
        <v>#DIV/0!</v>
      </c>
      <c r="AW125" s="393" t="e">
        <f t="shared" si="48"/>
        <v>#DIV/0!</v>
      </c>
      <c r="AX125" s="393" t="e">
        <f t="shared" si="49"/>
        <v>#DIV/0!</v>
      </c>
      <c r="AY125" s="393" t="e">
        <f t="shared" si="50"/>
        <v>#DIV/0!</v>
      </c>
      <c r="AZ125" s="393" t="e">
        <f t="shared" si="51"/>
        <v>#DIV/0!</v>
      </c>
      <c r="BA125" s="393" t="e">
        <f t="shared" si="52"/>
        <v>#DIV/0!</v>
      </c>
      <c r="BB125" s="393" t="e">
        <f t="shared" si="53"/>
        <v>#DIV/0!</v>
      </c>
    </row>
    <row r="126" spans="1:54" x14ac:dyDescent="0.25">
      <c r="A126" s="361" t="s">
        <v>2135</v>
      </c>
      <c r="B126" s="480"/>
      <c r="C126" s="480">
        <f>1067/1800</f>
        <v>0.59279999999999999</v>
      </c>
      <c r="D126" s="480">
        <f>1172/1800</f>
        <v>0.65110000000000001</v>
      </c>
      <c r="E126" s="480">
        <f>1142/1800</f>
        <v>0.63439999999999996</v>
      </c>
      <c r="F126" s="480">
        <f>806/1200</f>
        <v>0.67169999999999996</v>
      </c>
      <c r="G126" s="480">
        <f>1570/2400</f>
        <v>0.6542</v>
      </c>
      <c r="H126" s="480">
        <f>765/1200</f>
        <v>0.63749999999999996</v>
      </c>
      <c r="I126" s="480">
        <f>761/1200</f>
        <v>0.63419999999999999</v>
      </c>
      <c r="J126" s="480"/>
      <c r="K126" s="480"/>
      <c r="L126" s="480"/>
      <c r="M126" s="480"/>
      <c r="N126" s="480"/>
      <c r="O126" s="480"/>
      <c r="P126" s="480"/>
      <c r="Q126" s="480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393" t="e">
        <f t="shared" si="28"/>
        <v>#DIV/0!</v>
      </c>
      <c r="AD126" s="393">
        <f t="shared" si="29"/>
        <v>9.8350000000000009</v>
      </c>
      <c r="AE126" s="393">
        <f t="shared" si="30"/>
        <v>-2.5649999999999999</v>
      </c>
      <c r="AF126" s="393">
        <f t="shared" si="31"/>
        <v>5.88</v>
      </c>
      <c r="AG126" s="393">
        <f t="shared" si="32"/>
        <v>-2.605</v>
      </c>
      <c r="AH126" s="393">
        <f t="shared" si="33"/>
        <v>-2.5529999999999999</v>
      </c>
      <c r="AI126" s="393">
        <f t="shared" si="34"/>
        <v>-0.51800000000000002</v>
      </c>
      <c r="AJ126" s="393">
        <f t="shared" si="35"/>
        <v>-100</v>
      </c>
      <c r="AK126" s="393" t="e">
        <f t="shared" si="36"/>
        <v>#DIV/0!</v>
      </c>
      <c r="AL126" s="393" t="e">
        <f t="shared" si="37"/>
        <v>#DIV/0!</v>
      </c>
      <c r="AM126" s="393" t="e">
        <f t="shared" si="38"/>
        <v>#DIV/0!</v>
      </c>
      <c r="AN126" s="393" t="e">
        <f t="shared" si="39"/>
        <v>#DIV/0!</v>
      </c>
      <c r="AO126" s="393" t="e">
        <f t="shared" si="40"/>
        <v>#DIV/0!</v>
      </c>
      <c r="AP126" s="393" t="e">
        <f t="shared" si="41"/>
        <v>#DIV/0!</v>
      </c>
      <c r="AQ126" s="393" t="e">
        <f t="shared" si="42"/>
        <v>#DIV/0!</v>
      </c>
      <c r="AR126" s="393" t="e">
        <f t="shared" si="43"/>
        <v>#DIV/0!</v>
      </c>
      <c r="AS126" s="393" t="e">
        <f t="shared" si="44"/>
        <v>#DIV/0!</v>
      </c>
      <c r="AT126" s="393" t="e">
        <f t="shared" si="45"/>
        <v>#DIV/0!</v>
      </c>
      <c r="AU126" s="393" t="e">
        <f t="shared" si="46"/>
        <v>#DIV/0!</v>
      </c>
      <c r="AV126" s="393" t="e">
        <f t="shared" si="47"/>
        <v>#DIV/0!</v>
      </c>
      <c r="AW126" s="393" t="e">
        <f t="shared" si="48"/>
        <v>#DIV/0!</v>
      </c>
      <c r="AX126" s="393" t="e">
        <f t="shared" si="49"/>
        <v>#DIV/0!</v>
      </c>
      <c r="AY126" s="393" t="e">
        <f t="shared" si="50"/>
        <v>#DIV/0!</v>
      </c>
      <c r="AZ126" s="393" t="e">
        <f t="shared" si="51"/>
        <v>#DIV/0!</v>
      </c>
      <c r="BA126" s="393" t="e">
        <f t="shared" si="52"/>
        <v>#DIV/0!</v>
      </c>
      <c r="BB126" s="393" t="e">
        <f t="shared" si="53"/>
        <v>#DIV/0!</v>
      </c>
    </row>
    <row r="127" spans="1:54" x14ac:dyDescent="0.25">
      <c r="A127" s="360" t="s">
        <v>1324</v>
      </c>
      <c r="B127" s="480"/>
      <c r="C127" s="480"/>
      <c r="D127" s="480"/>
      <c r="E127" s="480">
        <f>854/1800</f>
        <v>0.47439999999999999</v>
      </c>
      <c r="F127" s="480"/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393" t="e">
        <f t="shared" si="28"/>
        <v>#DIV/0!</v>
      </c>
      <c r="AD127" s="393" t="e">
        <f t="shared" si="29"/>
        <v>#DIV/0!</v>
      </c>
      <c r="AE127" s="393" t="e">
        <f t="shared" si="30"/>
        <v>#DIV/0!</v>
      </c>
      <c r="AF127" s="393">
        <f t="shared" si="31"/>
        <v>-100</v>
      </c>
      <c r="AG127" s="393" t="e">
        <f t="shared" si="32"/>
        <v>#DIV/0!</v>
      </c>
      <c r="AH127" s="393" t="e">
        <f t="shared" si="33"/>
        <v>#DIV/0!</v>
      </c>
      <c r="AI127" s="393" t="e">
        <f t="shared" si="34"/>
        <v>#DIV/0!</v>
      </c>
      <c r="AJ127" s="393" t="e">
        <f t="shared" si="35"/>
        <v>#DIV/0!</v>
      </c>
      <c r="AK127" s="393" t="e">
        <f t="shared" si="36"/>
        <v>#DIV/0!</v>
      </c>
      <c r="AL127" s="393" t="e">
        <f t="shared" si="37"/>
        <v>#DIV/0!</v>
      </c>
      <c r="AM127" s="393" t="e">
        <f t="shared" si="38"/>
        <v>#DIV/0!</v>
      </c>
      <c r="AN127" s="393" t="e">
        <f t="shared" si="39"/>
        <v>#DIV/0!</v>
      </c>
      <c r="AO127" s="393" t="e">
        <f t="shared" si="40"/>
        <v>#DIV/0!</v>
      </c>
      <c r="AP127" s="393" t="e">
        <f t="shared" si="41"/>
        <v>#DIV/0!</v>
      </c>
      <c r="AQ127" s="393" t="e">
        <f t="shared" si="42"/>
        <v>#DIV/0!</v>
      </c>
      <c r="AR127" s="393" t="e">
        <f t="shared" si="43"/>
        <v>#DIV/0!</v>
      </c>
      <c r="AS127" s="393" t="e">
        <f t="shared" si="44"/>
        <v>#DIV/0!</v>
      </c>
      <c r="AT127" s="393" t="e">
        <f t="shared" si="45"/>
        <v>#DIV/0!</v>
      </c>
      <c r="AU127" s="393" t="e">
        <f t="shared" si="46"/>
        <v>#DIV/0!</v>
      </c>
      <c r="AV127" s="393" t="e">
        <f t="shared" si="47"/>
        <v>#DIV/0!</v>
      </c>
      <c r="AW127" s="393" t="e">
        <f t="shared" si="48"/>
        <v>#DIV/0!</v>
      </c>
      <c r="AX127" s="393" t="e">
        <f t="shared" si="49"/>
        <v>#DIV/0!</v>
      </c>
      <c r="AY127" s="393" t="e">
        <f t="shared" si="50"/>
        <v>#DIV/0!</v>
      </c>
      <c r="AZ127" s="393" t="e">
        <f t="shared" si="51"/>
        <v>#DIV/0!</v>
      </c>
      <c r="BA127" s="393" t="e">
        <f t="shared" si="52"/>
        <v>#DIV/0!</v>
      </c>
      <c r="BB127" s="393" t="e">
        <f t="shared" si="53"/>
        <v>#DIV/0!</v>
      </c>
    </row>
    <row r="128" spans="1:54" x14ac:dyDescent="0.25">
      <c r="A128" s="361" t="s">
        <v>4001</v>
      </c>
      <c r="B128" s="480"/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>
        <f>727/1200</f>
        <v>0.60580000000000001</v>
      </c>
      <c r="U128" s="480"/>
      <c r="V128" s="480"/>
      <c r="W128" s="480"/>
      <c r="X128" s="480"/>
      <c r="Y128" s="480"/>
      <c r="Z128" s="480"/>
      <c r="AA128" s="480"/>
      <c r="AB128" s="480"/>
      <c r="AC128" s="393" t="e">
        <f t="shared" si="28"/>
        <v>#DIV/0!</v>
      </c>
      <c r="AD128" s="393" t="e">
        <f t="shared" si="29"/>
        <v>#DIV/0!</v>
      </c>
      <c r="AE128" s="393" t="e">
        <f t="shared" si="30"/>
        <v>#DIV/0!</v>
      </c>
      <c r="AF128" s="393" t="e">
        <f t="shared" si="31"/>
        <v>#DIV/0!</v>
      </c>
      <c r="AG128" s="393" t="e">
        <f t="shared" si="32"/>
        <v>#DIV/0!</v>
      </c>
      <c r="AH128" s="393" t="e">
        <f t="shared" si="33"/>
        <v>#DIV/0!</v>
      </c>
      <c r="AI128" s="393" t="e">
        <f t="shared" si="34"/>
        <v>#DIV/0!</v>
      </c>
      <c r="AJ128" s="393" t="e">
        <f t="shared" si="35"/>
        <v>#DIV/0!</v>
      </c>
      <c r="AK128" s="393" t="e">
        <f t="shared" si="36"/>
        <v>#DIV/0!</v>
      </c>
      <c r="AL128" s="393" t="e">
        <f t="shared" si="37"/>
        <v>#DIV/0!</v>
      </c>
      <c r="AM128" s="393" t="e">
        <f t="shared" si="38"/>
        <v>#DIV/0!</v>
      </c>
      <c r="AN128" s="393" t="e">
        <f t="shared" si="39"/>
        <v>#DIV/0!</v>
      </c>
      <c r="AO128" s="393" t="e">
        <f t="shared" si="40"/>
        <v>#DIV/0!</v>
      </c>
      <c r="AP128" s="393" t="e">
        <f t="shared" si="41"/>
        <v>#DIV/0!</v>
      </c>
      <c r="AQ128" s="393" t="e">
        <f t="shared" si="42"/>
        <v>#DIV/0!</v>
      </c>
      <c r="AR128" s="393" t="e">
        <f t="shared" si="43"/>
        <v>#DIV/0!</v>
      </c>
      <c r="AS128" s="393" t="e">
        <f t="shared" si="44"/>
        <v>#DIV/0!</v>
      </c>
      <c r="AT128" s="393" t="e">
        <f t="shared" si="45"/>
        <v>#DIV/0!</v>
      </c>
      <c r="AU128" s="393">
        <f t="shared" si="46"/>
        <v>-100</v>
      </c>
      <c r="AV128" s="393" t="e">
        <f t="shared" si="47"/>
        <v>#DIV/0!</v>
      </c>
      <c r="AW128" s="393" t="e">
        <f t="shared" si="48"/>
        <v>#DIV/0!</v>
      </c>
      <c r="AX128" s="393" t="e">
        <f t="shared" si="49"/>
        <v>#DIV/0!</v>
      </c>
      <c r="AY128" s="393" t="e">
        <f t="shared" si="50"/>
        <v>#DIV/0!</v>
      </c>
      <c r="AZ128" s="393" t="e">
        <f t="shared" si="51"/>
        <v>#DIV/0!</v>
      </c>
      <c r="BA128" s="393" t="e">
        <f t="shared" si="52"/>
        <v>#DIV/0!</v>
      </c>
      <c r="BB128" s="393" t="e">
        <f t="shared" si="53"/>
        <v>#DIV/0!</v>
      </c>
    </row>
    <row r="129" spans="1:54" x14ac:dyDescent="0.25">
      <c r="A129" s="361" t="s">
        <v>1605</v>
      </c>
      <c r="B129" s="480"/>
      <c r="C129" s="480"/>
      <c r="D129" s="480"/>
      <c r="E129" s="480"/>
      <c r="F129" s="480"/>
      <c r="G129" s="480"/>
      <c r="H129" s="480"/>
      <c r="I129" s="480"/>
      <c r="J129" s="480"/>
      <c r="K129" s="480"/>
      <c r="L129" s="480"/>
      <c r="M129" s="480"/>
      <c r="N129" s="480"/>
      <c r="O129" s="480"/>
      <c r="P129" s="480"/>
      <c r="Q129" s="480"/>
      <c r="R129" s="480"/>
      <c r="S129" s="480">
        <f>1108/1800</f>
        <v>0.61560000000000004</v>
      </c>
      <c r="T129" s="480"/>
      <c r="U129" s="480"/>
      <c r="V129" s="480"/>
      <c r="W129" s="480"/>
      <c r="X129" s="480"/>
      <c r="Y129" s="480"/>
      <c r="Z129" s="480"/>
      <c r="AA129" s="480"/>
      <c r="AB129" s="480"/>
      <c r="AC129" s="393" t="e">
        <f t="shared" si="28"/>
        <v>#DIV/0!</v>
      </c>
      <c r="AD129" s="393" t="e">
        <f t="shared" si="29"/>
        <v>#DIV/0!</v>
      </c>
      <c r="AE129" s="393" t="e">
        <f t="shared" si="30"/>
        <v>#DIV/0!</v>
      </c>
      <c r="AF129" s="393" t="e">
        <f t="shared" si="31"/>
        <v>#DIV/0!</v>
      </c>
      <c r="AG129" s="393" t="e">
        <f t="shared" si="32"/>
        <v>#DIV/0!</v>
      </c>
      <c r="AH129" s="393" t="e">
        <f t="shared" si="33"/>
        <v>#DIV/0!</v>
      </c>
      <c r="AI129" s="393" t="e">
        <f t="shared" si="34"/>
        <v>#DIV/0!</v>
      </c>
      <c r="AJ129" s="393" t="e">
        <f t="shared" si="35"/>
        <v>#DIV/0!</v>
      </c>
      <c r="AK129" s="393" t="e">
        <f t="shared" si="36"/>
        <v>#DIV/0!</v>
      </c>
      <c r="AL129" s="393" t="e">
        <f t="shared" si="37"/>
        <v>#DIV/0!</v>
      </c>
      <c r="AM129" s="393" t="e">
        <f t="shared" si="38"/>
        <v>#DIV/0!</v>
      </c>
      <c r="AN129" s="393" t="e">
        <f t="shared" si="39"/>
        <v>#DIV/0!</v>
      </c>
      <c r="AO129" s="393" t="e">
        <f t="shared" si="40"/>
        <v>#DIV/0!</v>
      </c>
      <c r="AP129" s="393" t="e">
        <f t="shared" si="41"/>
        <v>#DIV/0!</v>
      </c>
      <c r="AQ129" s="393" t="e">
        <f t="shared" si="42"/>
        <v>#DIV/0!</v>
      </c>
      <c r="AR129" s="393" t="e">
        <f t="shared" si="43"/>
        <v>#DIV/0!</v>
      </c>
      <c r="AS129" s="393" t="e">
        <f t="shared" si="44"/>
        <v>#DIV/0!</v>
      </c>
      <c r="AT129" s="393">
        <f t="shared" si="45"/>
        <v>-100</v>
      </c>
      <c r="AU129" s="393" t="e">
        <f t="shared" si="46"/>
        <v>#DIV/0!</v>
      </c>
      <c r="AV129" s="393" t="e">
        <f t="shared" si="47"/>
        <v>#DIV/0!</v>
      </c>
      <c r="AW129" s="393" t="e">
        <f t="shared" si="48"/>
        <v>#DIV/0!</v>
      </c>
      <c r="AX129" s="393" t="e">
        <f t="shared" si="49"/>
        <v>#DIV/0!</v>
      </c>
      <c r="AY129" s="393" t="e">
        <f t="shared" si="50"/>
        <v>#DIV/0!</v>
      </c>
      <c r="AZ129" s="393" t="e">
        <f t="shared" si="51"/>
        <v>#DIV/0!</v>
      </c>
      <c r="BA129" s="393" t="e">
        <f t="shared" si="52"/>
        <v>#DIV/0!</v>
      </c>
      <c r="BB129" s="393" t="e">
        <f t="shared" si="53"/>
        <v>#DIV/0!</v>
      </c>
    </row>
    <row r="130" spans="1:54" x14ac:dyDescent="0.25">
      <c r="A130" s="361" t="s">
        <v>2869</v>
      </c>
      <c r="B130" s="480"/>
      <c r="C130" s="480"/>
      <c r="D130" s="480"/>
      <c r="E130" s="480"/>
      <c r="F130" s="480"/>
      <c r="G130" s="480"/>
      <c r="H130" s="480"/>
      <c r="I130" s="480"/>
      <c r="J130" s="480"/>
      <c r="K130" s="480"/>
      <c r="L130" s="480"/>
      <c r="M130" s="480"/>
      <c r="N130" s="480"/>
      <c r="O130" s="480"/>
      <c r="P130" s="480"/>
      <c r="Q130" s="480"/>
      <c r="R130" s="480"/>
      <c r="S130" s="480"/>
      <c r="T130" s="480"/>
      <c r="U130" s="480"/>
      <c r="V130" s="480"/>
      <c r="W130" s="480">
        <f>691/1200</f>
        <v>0.57579999999999998</v>
      </c>
      <c r="X130" s="480"/>
      <c r="Y130" s="480"/>
      <c r="Z130" s="480"/>
      <c r="AA130" s="480"/>
      <c r="AB130" s="480"/>
      <c r="AC130" s="393" t="e">
        <f t="shared" si="28"/>
        <v>#DIV/0!</v>
      </c>
      <c r="AD130" s="393" t="e">
        <f t="shared" si="29"/>
        <v>#DIV/0!</v>
      </c>
      <c r="AE130" s="393" t="e">
        <f t="shared" si="30"/>
        <v>#DIV/0!</v>
      </c>
      <c r="AF130" s="393" t="e">
        <f t="shared" si="31"/>
        <v>#DIV/0!</v>
      </c>
      <c r="AG130" s="393" t="e">
        <f t="shared" si="32"/>
        <v>#DIV/0!</v>
      </c>
      <c r="AH130" s="393" t="e">
        <f t="shared" si="33"/>
        <v>#DIV/0!</v>
      </c>
      <c r="AI130" s="393" t="e">
        <f t="shared" si="34"/>
        <v>#DIV/0!</v>
      </c>
      <c r="AJ130" s="393" t="e">
        <f t="shared" si="35"/>
        <v>#DIV/0!</v>
      </c>
      <c r="AK130" s="393" t="e">
        <f t="shared" si="36"/>
        <v>#DIV/0!</v>
      </c>
      <c r="AL130" s="393" t="e">
        <f t="shared" si="37"/>
        <v>#DIV/0!</v>
      </c>
      <c r="AM130" s="393" t="e">
        <f t="shared" si="38"/>
        <v>#DIV/0!</v>
      </c>
      <c r="AN130" s="393" t="e">
        <f t="shared" si="39"/>
        <v>#DIV/0!</v>
      </c>
      <c r="AO130" s="393" t="e">
        <f t="shared" si="40"/>
        <v>#DIV/0!</v>
      </c>
      <c r="AP130" s="393" t="e">
        <f t="shared" si="41"/>
        <v>#DIV/0!</v>
      </c>
      <c r="AQ130" s="393" t="e">
        <f t="shared" si="42"/>
        <v>#DIV/0!</v>
      </c>
      <c r="AR130" s="393" t="e">
        <f t="shared" si="43"/>
        <v>#DIV/0!</v>
      </c>
      <c r="AS130" s="393" t="e">
        <f t="shared" si="44"/>
        <v>#DIV/0!</v>
      </c>
      <c r="AT130" s="393" t="e">
        <f t="shared" si="45"/>
        <v>#DIV/0!</v>
      </c>
      <c r="AU130" s="393" t="e">
        <f t="shared" si="46"/>
        <v>#DIV/0!</v>
      </c>
      <c r="AV130" s="393" t="e">
        <f t="shared" si="47"/>
        <v>#DIV/0!</v>
      </c>
      <c r="AW130" s="393" t="e">
        <f t="shared" si="48"/>
        <v>#DIV/0!</v>
      </c>
      <c r="AX130" s="393">
        <f t="shared" si="49"/>
        <v>-100</v>
      </c>
      <c r="AY130" s="393" t="e">
        <f t="shared" si="50"/>
        <v>#DIV/0!</v>
      </c>
      <c r="AZ130" s="393" t="e">
        <f t="shared" si="51"/>
        <v>#DIV/0!</v>
      </c>
      <c r="BA130" s="393" t="e">
        <f t="shared" si="52"/>
        <v>#DIV/0!</v>
      </c>
      <c r="BB130" s="393" t="e">
        <f t="shared" si="53"/>
        <v>#DIV/0!</v>
      </c>
    </row>
    <row r="131" spans="1:54" x14ac:dyDescent="0.25">
      <c r="A131" s="361" t="s">
        <v>1790</v>
      </c>
      <c r="B131" s="480"/>
      <c r="C131" s="480"/>
      <c r="D131" s="480"/>
      <c r="E131" s="480"/>
      <c r="F131" s="480"/>
      <c r="G131" s="480"/>
      <c r="H131" s="480"/>
      <c r="I131" s="480"/>
      <c r="J131" s="480"/>
      <c r="K131" s="480"/>
      <c r="L131" s="480"/>
      <c r="M131" s="480"/>
      <c r="N131" s="480"/>
      <c r="O131" s="480"/>
      <c r="P131" s="480"/>
      <c r="Q131" s="480"/>
      <c r="R131" s="480">
        <f>1355/1800</f>
        <v>0.75280000000000002</v>
      </c>
      <c r="S131" s="480">
        <f>1386/1800</f>
        <v>0.77</v>
      </c>
      <c r="T131" s="480"/>
      <c r="U131" s="480"/>
      <c r="V131" s="480"/>
      <c r="W131" s="480"/>
      <c r="X131" s="480"/>
      <c r="Y131" s="480"/>
      <c r="Z131" s="480"/>
      <c r="AA131" s="480"/>
      <c r="AB131" s="480"/>
      <c r="AC131" s="393" t="e">
        <f t="shared" si="28"/>
        <v>#DIV/0!</v>
      </c>
      <c r="AD131" s="393" t="e">
        <f t="shared" si="29"/>
        <v>#DIV/0!</v>
      </c>
      <c r="AE131" s="393" t="e">
        <f t="shared" si="30"/>
        <v>#DIV/0!</v>
      </c>
      <c r="AF131" s="393" t="e">
        <f t="shared" si="31"/>
        <v>#DIV/0!</v>
      </c>
      <c r="AG131" s="393" t="e">
        <f t="shared" si="32"/>
        <v>#DIV/0!</v>
      </c>
      <c r="AH131" s="393" t="e">
        <f t="shared" si="33"/>
        <v>#DIV/0!</v>
      </c>
      <c r="AI131" s="393" t="e">
        <f t="shared" si="34"/>
        <v>#DIV/0!</v>
      </c>
      <c r="AJ131" s="393" t="e">
        <f t="shared" si="35"/>
        <v>#DIV/0!</v>
      </c>
      <c r="AK131" s="393" t="e">
        <f t="shared" si="36"/>
        <v>#DIV/0!</v>
      </c>
      <c r="AL131" s="393" t="e">
        <f t="shared" si="37"/>
        <v>#DIV/0!</v>
      </c>
      <c r="AM131" s="393" t="e">
        <f t="shared" si="38"/>
        <v>#DIV/0!</v>
      </c>
      <c r="AN131" s="393" t="e">
        <f t="shared" si="39"/>
        <v>#DIV/0!</v>
      </c>
      <c r="AO131" s="393" t="e">
        <f t="shared" si="40"/>
        <v>#DIV/0!</v>
      </c>
      <c r="AP131" s="393" t="e">
        <f t="shared" si="41"/>
        <v>#DIV/0!</v>
      </c>
      <c r="AQ131" s="393" t="e">
        <f t="shared" si="42"/>
        <v>#DIV/0!</v>
      </c>
      <c r="AR131" s="393" t="e">
        <f t="shared" si="43"/>
        <v>#DIV/0!</v>
      </c>
      <c r="AS131" s="393">
        <f t="shared" si="44"/>
        <v>2.2850000000000001</v>
      </c>
      <c r="AT131" s="393">
        <f t="shared" si="45"/>
        <v>-100</v>
      </c>
      <c r="AU131" s="393" t="e">
        <f t="shared" si="46"/>
        <v>#DIV/0!</v>
      </c>
      <c r="AV131" s="393" t="e">
        <f t="shared" si="47"/>
        <v>#DIV/0!</v>
      </c>
      <c r="AW131" s="393" t="e">
        <f t="shared" si="48"/>
        <v>#DIV/0!</v>
      </c>
      <c r="AX131" s="393" t="e">
        <f t="shared" si="49"/>
        <v>#DIV/0!</v>
      </c>
      <c r="AY131" s="393" t="e">
        <f t="shared" si="50"/>
        <v>#DIV/0!</v>
      </c>
      <c r="AZ131" s="393" t="e">
        <f t="shared" si="51"/>
        <v>#DIV/0!</v>
      </c>
      <c r="BA131" s="393" t="e">
        <f t="shared" si="52"/>
        <v>#DIV/0!</v>
      </c>
      <c r="BB131" s="393" t="e">
        <f t="shared" si="53"/>
        <v>#DIV/0!</v>
      </c>
    </row>
    <row r="132" spans="1:54" s="358" customFormat="1" x14ac:dyDescent="0.25">
      <c r="A132" s="361" t="s">
        <v>62</v>
      </c>
      <c r="B132" s="480"/>
      <c r="C132" s="480"/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0"/>
      <c r="T132" s="480"/>
      <c r="U132" s="480">
        <f>1058/1800</f>
        <v>0.58779999999999999</v>
      </c>
      <c r="V132" s="480"/>
      <c r="W132" s="480"/>
      <c r="X132" s="480"/>
      <c r="Y132" s="480"/>
      <c r="Z132" s="480"/>
      <c r="AA132" s="480"/>
      <c r="AB132" s="480"/>
      <c r="AC132" s="393" t="e">
        <f t="shared" si="28"/>
        <v>#DIV/0!</v>
      </c>
      <c r="AD132" s="393" t="e">
        <f t="shared" si="29"/>
        <v>#DIV/0!</v>
      </c>
      <c r="AE132" s="393" t="e">
        <f t="shared" si="30"/>
        <v>#DIV/0!</v>
      </c>
      <c r="AF132" s="393" t="e">
        <f t="shared" si="31"/>
        <v>#DIV/0!</v>
      </c>
      <c r="AG132" s="393" t="e">
        <f t="shared" si="32"/>
        <v>#DIV/0!</v>
      </c>
      <c r="AH132" s="393" t="e">
        <f t="shared" si="33"/>
        <v>#DIV/0!</v>
      </c>
      <c r="AI132" s="393" t="e">
        <f t="shared" si="34"/>
        <v>#DIV/0!</v>
      </c>
      <c r="AJ132" s="393" t="e">
        <f t="shared" si="35"/>
        <v>#DIV/0!</v>
      </c>
      <c r="AK132" s="393" t="e">
        <f t="shared" si="36"/>
        <v>#DIV/0!</v>
      </c>
      <c r="AL132" s="393" t="e">
        <f t="shared" si="37"/>
        <v>#DIV/0!</v>
      </c>
      <c r="AM132" s="393" t="e">
        <f t="shared" si="38"/>
        <v>#DIV/0!</v>
      </c>
      <c r="AN132" s="393" t="e">
        <f t="shared" si="39"/>
        <v>#DIV/0!</v>
      </c>
      <c r="AO132" s="393" t="e">
        <f t="shared" si="40"/>
        <v>#DIV/0!</v>
      </c>
      <c r="AP132" s="393" t="e">
        <f t="shared" si="41"/>
        <v>#DIV/0!</v>
      </c>
      <c r="AQ132" s="393" t="e">
        <f t="shared" si="42"/>
        <v>#DIV/0!</v>
      </c>
      <c r="AR132" s="393" t="e">
        <f t="shared" si="43"/>
        <v>#DIV/0!</v>
      </c>
      <c r="AS132" s="393" t="e">
        <f t="shared" si="44"/>
        <v>#DIV/0!</v>
      </c>
      <c r="AT132" s="393" t="e">
        <f t="shared" si="45"/>
        <v>#DIV/0!</v>
      </c>
      <c r="AU132" s="393" t="e">
        <f t="shared" si="46"/>
        <v>#DIV/0!</v>
      </c>
      <c r="AV132" s="393">
        <f t="shared" si="47"/>
        <v>-100</v>
      </c>
      <c r="AW132" s="393" t="e">
        <f t="shared" si="48"/>
        <v>#DIV/0!</v>
      </c>
      <c r="AX132" s="393" t="e">
        <f t="shared" si="49"/>
        <v>#DIV/0!</v>
      </c>
      <c r="AY132" s="393" t="e">
        <f t="shared" si="50"/>
        <v>#DIV/0!</v>
      </c>
      <c r="AZ132" s="393" t="e">
        <f t="shared" si="51"/>
        <v>#DIV/0!</v>
      </c>
      <c r="BA132" s="393" t="e">
        <f t="shared" si="52"/>
        <v>#DIV/0!</v>
      </c>
      <c r="BB132" s="393" t="e">
        <f t="shared" si="53"/>
        <v>#DIV/0!</v>
      </c>
    </row>
    <row r="133" spans="1:54" x14ac:dyDescent="0.25">
      <c r="A133" s="360" t="s">
        <v>1551</v>
      </c>
      <c r="B133" s="480"/>
      <c r="C133" s="480"/>
      <c r="D133" s="480"/>
      <c r="E133" s="480"/>
      <c r="F133" s="480"/>
      <c r="G133" s="480">
        <f>1633/2400</f>
        <v>0.6804</v>
      </c>
      <c r="H133" s="480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393" t="e">
        <f t="shared" ref="AC133:AC196" si="54">(+C133-B133)/B133*100</f>
        <v>#DIV/0!</v>
      </c>
      <c r="AD133" s="393" t="e">
        <f t="shared" ref="AD133:AD196" si="55">(+D133-C133)/C133*100</f>
        <v>#DIV/0!</v>
      </c>
      <c r="AE133" s="393" t="e">
        <f t="shared" ref="AE133:AE196" si="56">(+E133-D133)/D133*100</f>
        <v>#DIV/0!</v>
      </c>
      <c r="AF133" s="393" t="e">
        <f t="shared" ref="AF133:AF196" si="57">(+F133-E133)/E133*100</f>
        <v>#DIV/0!</v>
      </c>
      <c r="AG133" s="393" t="e">
        <f t="shared" ref="AG133:AG196" si="58">(+G133-F133)/F133*100</f>
        <v>#DIV/0!</v>
      </c>
      <c r="AH133" s="393">
        <f t="shared" ref="AH133:AH196" si="59">(+H133-G133)/G133*100</f>
        <v>-100</v>
      </c>
      <c r="AI133" s="393" t="e">
        <f t="shared" ref="AI133:AI196" si="60">(+I133-H133)/H133*100</f>
        <v>#DIV/0!</v>
      </c>
      <c r="AJ133" s="393" t="e">
        <f t="shared" ref="AJ133:AJ196" si="61">(+J133-I133)/I133*100</f>
        <v>#DIV/0!</v>
      </c>
      <c r="AK133" s="393" t="e">
        <f t="shared" ref="AK133:AK196" si="62">(+K133-J133)/J133*100</f>
        <v>#DIV/0!</v>
      </c>
      <c r="AL133" s="393" t="e">
        <f t="shared" ref="AL133:AL196" si="63">(+L133-K133)/K133*100</f>
        <v>#DIV/0!</v>
      </c>
      <c r="AM133" s="393" t="e">
        <f t="shared" ref="AM133:AM196" si="64">(+M133-L133)/L133*100</f>
        <v>#DIV/0!</v>
      </c>
      <c r="AN133" s="393" t="e">
        <f t="shared" ref="AN133:AN196" si="65">(+N133-M133)/M133*100</f>
        <v>#DIV/0!</v>
      </c>
      <c r="AO133" s="393" t="e">
        <f t="shared" ref="AO133:AO196" si="66">(+O133-N133)/N133*100</f>
        <v>#DIV/0!</v>
      </c>
      <c r="AP133" s="393" t="e">
        <f t="shared" ref="AP133:AP196" si="67">(+P133-O133)/O133*100</f>
        <v>#DIV/0!</v>
      </c>
      <c r="AQ133" s="393" t="e">
        <f t="shared" ref="AQ133:AQ196" si="68">(+Q133-P133)/P133*100</f>
        <v>#DIV/0!</v>
      </c>
      <c r="AR133" s="393" t="e">
        <f t="shared" ref="AR133:AR196" si="69">(+R133-Q133)/Q133*100</f>
        <v>#DIV/0!</v>
      </c>
      <c r="AS133" s="393" t="e">
        <f t="shared" ref="AS133:AS196" si="70">(+S133-R133)/R133*100</f>
        <v>#DIV/0!</v>
      </c>
      <c r="AT133" s="393" t="e">
        <f t="shared" ref="AT133:AT196" si="71">(+T133-S133)/S133*100</f>
        <v>#DIV/0!</v>
      </c>
      <c r="AU133" s="393" t="e">
        <f t="shared" ref="AU133:AU196" si="72">(+U133-T133)/T133*100</f>
        <v>#DIV/0!</v>
      </c>
      <c r="AV133" s="393" t="e">
        <f t="shared" ref="AV133:AV196" si="73">(+V133-U133)/U133*100</f>
        <v>#DIV/0!</v>
      </c>
      <c r="AW133" s="393" t="e">
        <f t="shared" ref="AW133:AW196" si="74">(+W133-V133)/V133*100</f>
        <v>#DIV/0!</v>
      </c>
      <c r="AX133" s="393" t="e">
        <f t="shared" ref="AX133:AX196" si="75">(+X133-W133)/W133*100</f>
        <v>#DIV/0!</v>
      </c>
      <c r="AY133" s="393" t="e">
        <f t="shared" ref="AY133:AY196" si="76">(+Y133-X133)/X133*100</f>
        <v>#DIV/0!</v>
      </c>
      <c r="AZ133" s="393" t="e">
        <f t="shared" ref="AZ133:AZ196" si="77">(+Z133-Y133)/Y133*100</f>
        <v>#DIV/0!</v>
      </c>
      <c r="BA133" s="393" t="e">
        <f t="shared" ref="BA133:BA196" si="78">(+AA133-Z133)/Z133*100</f>
        <v>#DIV/0!</v>
      </c>
      <c r="BB133" s="393" t="e">
        <f t="shared" ref="BB133:BB196" si="79">(+AB133-AA133)/AA133*100</f>
        <v>#DIV/0!</v>
      </c>
    </row>
    <row r="134" spans="1:54" x14ac:dyDescent="0.25">
      <c r="A134" s="361" t="s">
        <v>3305</v>
      </c>
      <c r="B134" s="480"/>
      <c r="C134" s="480"/>
      <c r="D134" s="480"/>
      <c r="E134" s="480"/>
      <c r="F134" s="480"/>
      <c r="G134" s="480"/>
      <c r="H134" s="480"/>
      <c r="I134" s="480">
        <f>570/1200</f>
        <v>0.47499999999999998</v>
      </c>
      <c r="J134" s="480"/>
      <c r="K134" s="480"/>
      <c r="L134" s="480"/>
      <c r="M134" s="480"/>
      <c r="N134" s="480"/>
      <c r="O134" s="480"/>
      <c r="P134" s="480"/>
      <c r="Q134" s="480"/>
      <c r="R134" s="480"/>
      <c r="S134" s="480"/>
      <c r="T134" s="480"/>
      <c r="U134" s="480"/>
      <c r="V134" s="480"/>
      <c r="W134" s="480"/>
      <c r="X134" s="480"/>
      <c r="Y134" s="480"/>
      <c r="Z134" s="480"/>
      <c r="AA134" s="480"/>
      <c r="AB134" s="480"/>
      <c r="AC134" s="393" t="e">
        <f t="shared" si="54"/>
        <v>#DIV/0!</v>
      </c>
      <c r="AD134" s="393" t="e">
        <f t="shared" si="55"/>
        <v>#DIV/0!</v>
      </c>
      <c r="AE134" s="393" t="e">
        <f t="shared" si="56"/>
        <v>#DIV/0!</v>
      </c>
      <c r="AF134" s="393" t="e">
        <f t="shared" si="57"/>
        <v>#DIV/0!</v>
      </c>
      <c r="AG134" s="393" t="e">
        <f t="shared" si="58"/>
        <v>#DIV/0!</v>
      </c>
      <c r="AH134" s="393" t="e">
        <f t="shared" si="59"/>
        <v>#DIV/0!</v>
      </c>
      <c r="AI134" s="393" t="e">
        <f t="shared" si="60"/>
        <v>#DIV/0!</v>
      </c>
      <c r="AJ134" s="393">
        <f t="shared" si="61"/>
        <v>-100</v>
      </c>
      <c r="AK134" s="393" t="e">
        <f t="shared" si="62"/>
        <v>#DIV/0!</v>
      </c>
      <c r="AL134" s="393" t="e">
        <f t="shared" si="63"/>
        <v>#DIV/0!</v>
      </c>
      <c r="AM134" s="393" t="e">
        <f t="shared" si="64"/>
        <v>#DIV/0!</v>
      </c>
      <c r="AN134" s="393" t="e">
        <f t="shared" si="65"/>
        <v>#DIV/0!</v>
      </c>
      <c r="AO134" s="393" t="e">
        <f t="shared" si="66"/>
        <v>#DIV/0!</v>
      </c>
      <c r="AP134" s="393" t="e">
        <f t="shared" si="67"/>
        <v>#DIV/0!</v>
      </c>
      <c r="AQ134" s="393" t="e">
        <f t="shared" si="68"/>
        <v>#DIV/0!</v>
      </c>
      <c r="AR134" s="393" t="e">
        <f t="shared" si="69"/>
        <v>#DIV/0!</v>
      </c>
      <c r="AS134" s="393" t="e">
        <f t="shared" si="70"/>
        <v>#DIV/0!</v>
      </c>
      <c r="AT134" s="393" t="e">
        <f t="shared" si="71"/>
        <v>#DIV/0!</v>
      </c>
      <c r="AU134" s="393" t="e">
        <f t="shared" si="72"/>
        <v>#DIV/0!</v>
      </c>
      <c r="AV134" s="393" t="e">
        <f t="shared" si="73"/>
        <v>#DIV/0!</v>
      </c>
      <c r="AW134" s="393" t="e">
        <f t="shared" si="74"/>
        <v>#DIV/0!</v>
      </c>
      <c r="AX134" s="393" t="e">
        <f t="shared" si="75"/>
        <v>#DIV/0!</v>
      </c>
      <c r="AY134" s="393" t="e">
        <f t="shared" si="76"/>
        <v>#DIV/0!</v>
      </c>
      <c r="AZ134" s="393" t="e">
        <f t="shared" si="77"/>
        <v>#DIV/0!</v>
      </c>
      <c r="BA134" s="393" t="e">
        <f t="shared" si="78"/>
        <v>#DIV/0!</v>
      </c>
      <c r="BB134" s="393" t="e">
        <f t="shared" si="79"/>
        <v>#DIV/0!</v>
      </c>
    </row>
    <row r="135" spans="1:54" x14ac:dyDescent="0.25">
      <c r="A135" s="361" t="s">
        <v>3352</v>
      </c>
      <c r="B135" s="480"/>
      <c r="C135" s="480"/>
      <c r="D135" s="480"/>
      <c r="E135" s="480"/>
      <c r="F135" s="480"/>
      <c r="G135" s="480"/>
      <c r="H135" s="480"/>
      <c r="I135" s="480"/>
      <c r="J135" s="480"/>
      <c r="K135" s="480"/>
      <c r="L135" s="480"/>
      <c r="M135" s="480"/>
      <c r="N135" s="480">
        <f>799/1200</f>
        <v>0.66579999999999995</v>
      </c>
      <c r="O135" s="480">
        <f>802/1200</f>
        <v>0.66830000000000001</v>
      </c>
      <c r="P135" s="480">
        <f>1169/1800</f>
        <v>0.64939999999999998</v>
      </c>
      <c r="Q135" s="480"/>
      <c r="R135" s="480"/>
      <c r="S135" s="480"/>
      <c r="T135" s="480"/>
      <c r="U135" s="480"/>
      <c r="V135" s="480"/>
      <c r="W135" s="480"/>
      <c r="X135" s="480"/>
      <c r="Y135" s="480"/>
      <c r="Z135" s="480"/>
      <c r="AA135" s="480"/>
      <c r="AB135" s="480"/>
      <c r="AC135" s="393" t="e">
        <f t="shared" si="54"/>
        <v>#DIV/0!</v>
      </c>
      <c r="AD135" s="393" t="e">
        <f t="shared" si="55"/>
        <v>#DIV/0!</v>
      </c>
      <c r="AE135" s="393" t="e">
        <f t="shared" si="56"/>
        <v>#DIV/0!</v>
      </c>
      <c r="AF135" s="393" t="e">
        <f t="shared" si="57"/>
        <v>#DIV/0!</v>
      </c>
      <c r="AG135" s="393" t="e">
        <f t="shared" si="58"/>
        <v>#DIV/0!</v>
      </c>
      <c r="AH135" s="393" t="e">
        <f t="shared" si="59"/>
        <v>#DIV/0!</v>
      </c>
      <c r="AI135" s="393" t="e">
        <f t="shared" si="60"/>
        <v>#DIV/0!</v>
      </c>
      <c r="AJ135" s="393" t="e">
        <f t="shared" si="61"/>
        <v>#DIV/0!</v>
      </c>
      <c r="AK135" s="393" t="e">
        <f t="shared" si="62"/>
        <v>#DIV/0!</v>
      </c>
      <c r="AL135" s="393" t="e">
        <f t="shared" si="63"/>
        <v>#DIV/0!</v>
      </c>
      <c r="AM135" s="393" t="e">
        <f t="shared" si="64"/>
        <v>#DIV/0!</v>
      </c>
      <c r="AN135" s="393" t="e">
        <f t="shared" si="65"/>
        <v>#DIV/0!</v>
      </c>
      <c r="AO135" s="393">
        <f t="shared" si="66"/>
        <v>0.375</v>
      </c>
      <c r="AP135" s="393">
        <f t="shared" si="67"/>
        <v>-2.8279999999999998</v>
      </c>
      <c r="AQ135" s="393">
        <f t="shared" si="68"/>
        <v>-100</v>
      </c>
      <c r="AR135" s="393" t="e">
        <f t="shared" si="69"/>
        <v>#DIV/0!</v>
      </c>
      <c r="AS135" s="393" t="e">
        <f t="shared" si="70"/>
        <v>#DIV/0!</v>
      </c>
      <c r="AT135" s="393" t="e">
        <f t="shared" si="71"/>
        <v>#DIV/0!</v>
      </c>
      <c r="AU135" s="393" t="e">
        <f t="shared" si="72"/>
        <v>#DIV/0!</v>
      </c>
      <c r="AV135" s="393" t="e">
        <f t="shared" si="73"/>
        <v>#DIV/0!</v>
      </c>
      <c r="AW135" s="393" t="e">
        <f t="shared" si="74"/>
        <v>#DIV/0!</v>
      </c>
      <c r="AX135" s="393" t="e">
        <f t="shared" si="75"/>
        <v>#DIV/0!</v>
      </c>
      <c r="AY135" s="393" t="e">
        <f t="shared" si="76"/>
        <v>#DIV/0!</v>
      </c>
      <c r="AZ135" s="393" t="e">
        <f t="shared" si="77"/>
        <v>#DIV/0!</v>
      </c>
      <c r="BA135" s="393" t="e">
        <f t="shared" si="78"/>
        <v>#DIV/0!</v>
      </c>
      <c r="BB135" s="393" t="e">
        <f t="shared" si="79"/>
        <v>#DIV/0!</v>
      </c>
    </row>
    <row r="136" spans="1:54" x14ac:dyDescent="0.25">
      <c r="A136" s="361" t="s">
        <v>1593</v>
      </c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480"/>
      <c r="M136" s="480"/>
      <c r="N136" s="480"/>
      <c r="O136" s="480"/>
      <c r="P136" s="480"/>
      <c r="Q136" s="480"/>
      <c r="R136" s="480">
        <f>1006/1800</f>
        <v>0.55889999999999995</v>
      </c>
      <c r="S136" s="480"/>
      <c r="T136" s="480"/>
      <c r="U136" s="480"/>
      <c r="V136" s="480"/>
      <c r="W136" s="480"/>
      <c r="X136" s="480"/>
      <c r="Y136" s="480"/>
      <c r="Z136" s="480"/>
      <c r="AA136" s="480"/>
      <c r="AB136" s="480"/>
      <c r="AC136" s="393" t="e">
        <f t="shared" si="54"/>
        <v>#DIV/0!</v>
      </c>
      <c r="AD136" s="393" t="e">
        <f t="shared" si="55"/>
        <v>#DIV/0!</v>
      </c>
      <c r="AE136" s="393" t="e">
        <f t="shared" si="56"/>
        <v>#DIV/0!</v>
      </c>
      <c r="AF136" s="393" t="e">
        <f t="shared" si="57"/>
        <v>#DIV/0!</v>
      </c>
      <c r="AG136" s="393" t="e">
        <f t="shared" si="58"/>
        <v>#DIV/0!</v>
      </c>
      <c r="AH136" s="393" t="e">
        <f t="shared" si="59"/>
        <v>#DIV/0!</v>
      </c>
      <c r="AI136" s="393" t="e">
        <f t="shared" si="60"/>
        <v>#DIV/0!</v>
      </c>
      <c r="AJ136" s="393" t="e">
        <f t="shared" si="61"/>
        <v>#DIV/0!</v>
      </c>
      <c r="AK136" s="393" t="e">
        <f t="shared" si="62"/>
        <v>#DIV/0!</v>
      </c>
      <c r="AL136" s="393" t="e">
        <f t="shared" si="63"/>
        <v>#DIV/0!</v>
      </c>
      <c r="AM136" s="393" t="e">
        <f t="shared" si="64"/>
        <v>#DIV/0!</v>
      </c>
      <c r="AN136" s="393" t="e">
        <f t="shared" si="65"/>
        <v>#DIV/0!</v>
      </c>
      <c r="AO136" s="393" t="e">
        <f t="shared" si="66"/>
        <v>#DIV/0!</v>
      </c>
      <c r="AP136" s="393" t="e">
        <f t="shared" si="67"/>
        <v>#DIV/0!</v>
      </c>
      <c r="AQ136" s="393" t="e">
        <f t="shared" si="68"/>
        <v>#DIV/0!</v>
      </c>
      <c r="AR136" s="393" t="e">
        <f t="shared" si="69"/>
        <v>#DIV/0!</v>
      </c>
      <c r="AS136" s="393">
        <f t="shared" si="70"/>
        <v>-100</v>
      </c>
      <c r="AT136" s="393" t="e">
        <f t="shared" si="71"/>
        <v>#DIV/0!</v>
      </c>
      <c r="AU136" s="393" t="e">
        <f t="shared" si="72"/>
        <v>#DIV/0!</v>
      </c>
      <c r="AV136" s="393" t="e">
        <f t="shared" si="73"/>
        <v>#DIV/0!</v>
      </c>
      <c r="AW136" s="393" t="e">
        <f t="shared" si="74"/>
        <v>#DIV/0!</v>
      </c>
      <c r="AX136" s="393" t="e">
        <f t="shared" si="75"/>
        <v>#DIV/0!</v>
      </c>
      <c r="AY136" s="393" t="e">
        <f t="shared" si="76"/>
        <v>#DIV/0!</v>
      </c>
      <c r="AZ136" s="393" t="e">
        <f t="shared" si="77"/>
        <v>#DIV/0!</v>
      </c>
      <c r="BA136" s="393" t="e">
        <f t="shared" si="78"/>
        <v>#DIV/0!</v>
      </c>
      <c r="BB136" s="393" t="e">
        <f t="shared" si="79"/>
        <v>#DIV/0!</v>
      </c>
    </row>
    <row r="137" spans="1:54" x14ac:dyDescent="0.25">
      <c r="A137" s="360" t="s">
        <v>4511</v>
      </c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>
        <f>1101/1800</f>
        <v>0.61170000000000002</v>
      </c>
      <c r="Z137" s="480"/>
      <c r="AA137" s="480"/>
      <c r="AB137" s="480"/>
      <c r="AC137" s="393" t="e">
        <f t="shared" si="54"/>
        <v>#DIV/0!</v>
      </c>
      <c r="AD137" s="393" t="e">
        <f t="shared" si="55"/>
        <v>#DIV/0!</v>
      </c>
      <c r="AE137" s="393" t="e">
        <f t="shared" si="56"/>
        <v>#DIV/0!</v>
      </c>
      <c r="AF137" s="393" t="e">
        <f t="shared" si="57"/>
        <v>#DIV/0!</v>
      </c>
      <c r="AG137" s="393" t="e">
        <f t="shared" si="58"/>
        <v>#DIV/0!</v>
      </c>
      <c r="AH137" s="393" t="e">
        <f t="shared" si="59"/>
        <v>#DIV/0!</v>
      </c>
      <c r="AI137" s="393" t="e">
        <f t="shared" si="60"/>
        <v>#DIV/0!</v>
      </c>
      <c r="AJ137" s="393" t="e">
        <f t="shared" si="61"/>
        <v>#DIV/0!</v>
      </c>
      <c r="AK137" s="393" t="e">
        <f t="shared" si="62"/>
        <v>#DIV/0!</v>
      </c>
      <c r="AL137" s="393" t="e">
        <f t="shared" si="63"/>
        <v>#DIV/0!</v>
      </c>
      <c r="AM137" s="393" t="e">
        <f t="shared" si="64"/>
        <v>#DIV/0!</v>
      </c>
      <c r="AN137" s="393" t="e">
        <f t="shared" si="65"/>
        <v>#DIV/0!</v>
      </c>
      <c r="AO137" s="393" t="e">
        <f t="shared" si="66"/>
        <v>#DIV/0!</v>
      </c>
      <c r="AP137" s="393" t="e">
        <f t="shared" si="67"/>
        <v>#DIV/0!</v>
      </c>
      <c r="AQ137" s="393" t="e">
        <f t="shared" si="68"/>
        <v>#DIV/0!</v>
      </c>
      <c r="AR137" s="393" t="e">
        <f t="shared" si="69"/>
        <v>#DIV/0!</v>
      </c>
      <c r="AS137" s="393" t="e">
        <f t="shared" si="70"/>
        <v>#DIV/0!</v>
      </c>
      <c r="AT137" s="393" t="e">
        <f t="shared" si="71"/>
        <v>#DIV/0!</v>
      </c>
      <c r="AU137" s="393" t="e">
        <f t="shared" si="72"/>
        <v>#DIV/0!</v>
      </c>
      <c r="AV137" s="393" t="e">
        <f t="shared" si="73"/>
        <v>#DIV/0!</v>
      </c>
      <c r="AW137" s="393" t="e">
        <f t="shared" si="74"/>
        <v>#DIV/0!</v>
      </c>
      <c r="AX137" s="393" t="e">
        <f t="shared" si="75"/>
        <v>#DIV/0!</v>
      </c>
      <c r="AY137" s="393" t="e">
        <f t="shared" si="76"/>
        <v>#DIV/0!</v>
      </c>
      <c r="AZ137" s="393">
        <f t="shared" si="77"/>
        <v>-100</v>
      </c>
      <c r="BA137" s="393" t="e">
        <f t="shared" si="78"/>
        <v>#DIV/0!</v>
      </c>
      <c r="BB137" s="393" t="e">
        <f t="shared" si="79"/>
        <v>#DIV/0!</v>
      </c>
    </row>
    <row r="138" spans="1:54" x14ac:dyDescent="0.25">
      <c r="A138" s="360" t="s">
        <v>4862</v>
      </c>
      <c r="B138" s="480"/>
      <c r="C138" s="480"/>
      <c r="D138" s="480"/>
      <c r="E138" s="480"/>
      <c r="F138" s="480"/>
      <c r="G138" s="480"/>
      <c r="H138" s="480"/>
      <c r="I138" s="480"/>
      <c r="J138" s="480"/>
      <c r="K138" s="480"/>
      <c r="L138" s="480"/>
      <c r="M138" s="480"/>
      <c r="N138" s="480"/>
      <c r="O138" s="480"/>
      <c r="P138" s="480"/>
      <c r="Q138" s="480"/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>
        <v>0.67200000000000004</v>
      </c>
      <c r="AC138" s="393" t="e">
        <f t="shared" si="54"/>
        <v>#DIV/0!</v>
      </c>
      <c r="AD138" s="393" t="e">
        <f t="shared" si="55"/>
        <v>#DIV/0!</v>
      </c>
      <c r="AE138" s="393" t="e">
        <f t="shared" si="56"/>
        <v>#DIV/0!</v>
      </c>
      <c r="AF138" s="393" t="e">
        <f t="shared" si="57"/>
        <v>#DIV/0!</v>
      </c>
      <c r="AG138" s="393" t="e">
        <f t="shared" si="58"/>
        <v>#DIV/0!</v>
      </c>
      <c r="AH138" s="393" t="e">
        <f t="shared" si="59"/>
        <v>#DIV/0!</v>
      </c>
      <c r="AI138" s="393" t="e">
        <f t="shared" si="60"/>
        <v>#DIV/0!</v>
      </c>
      <c r="AJ138" s="393" t="e">
        <f t="shared" si="61"/>
        <v>#DIV/0!</v>
      </c>
      <c r="AK138" s="393" t="e">
        <f t="shared" si="62"/>
        <v>#DIV/0!</v>
      </c>
      <c r="AL138" s="393" t="e">
        <f t="shared" si="63"/>
        <v>#DIV/0!</v>
      </c>
      <c r="AM138" s="393" t="e">
        <f t="shared" si="64"/>
        <v>#DIV/0!</v>
      </c>
      <c r="AN138" s="393" t="e">
        <f t="shared" si="65"/>
        <v>#DIV/0!</v>
      </c>
      <c r="AO138" s="393" t="e">
        <f t="shared" si="66"/>
        <v>#DIV/0!</v>
      </c>
      <c r="AP138" s="393" t="e">
        <f t="shared" si="67"/>
        <v>#DIV/0!</v>
      </c>
      <c r="AQ138" s="393" t="e">
        <f t="shared" si="68"/>
        <v>#DIV/0!</v>
      </c>
      <c r="AR138" s="393" t="e">
        <f t="shared" si="69"/>
        <v>#DIV/0!</v>
      </c>
      <c r="AS138" s="393" t="e">
        <f t="shared" si="70"/>
        <v>#DIV/0!</v>
      </c>
      <c r="AT138" s="393" t="e">
        <f t="shared" si="71"/>
        <v>#DIV/0!</v>
      </c>
      <c r="AU138" s="393" t="e">
        <f t="shared" si="72"/>
        <v>#DIV/0!</v>
      </c>
      <c r="AV138" s="393" t="e">
        <f t="shared" si="73"/>
        <v>#DIV/0!</v>
      </c>
      <c r="AW138" s="393" t="e">
        <f t="shared" si="74"/>
        <v>#DIV/0!</v>
      </c>
      <c r="AX138" s="393" t="e">
        <f t="shared" si="75"/>
        <v>#DIV/0!</v>
      </c>
      <c r="AY138" s="393" t="e">
        <f t="shared" si="76"/>
        <v>#DIV/0!</v>
      </c>
      <c r="AZ138" s="393" t="e">
        <f t="shared" si="77"/>
        <v>#DIV/0!</v>
      </c>
      <c r="BA138" s="393" t="e">
        <f t="shared" si="78"/>
        <v>#DIV/0!</v>
      </c>
      <c r="BB138" s="393" t="e">
        <f t="shared" si="79"/>
        <v>#DIV/0!</v>
      </c>
    </row>
    <row r="139" spans="1:54" x14ac:dyDescent="0.25">
      <c r="A139" s="360" t="s">
        <v>4373</v>
      </c>
      <c r="B139" s="480"/>
      <c r="C139" s="480"/>
      <c r="D139" s="480"/>
      <c r="E139" s="480"/>
      <c r="F139" s="480"/>
      <c r="G139" s="480"/>
      <c r="H139" s="480"/>
      <c r="I139" s="480"/>
      <c r="J139" s="480"/>
      <c r="K139" s="480"/>
      <c r="L139" s="480"/>
      <c r="M139" s="480"/>
      <c r="N139" s="480"/>
      <c r="O139" s="480"/>
      <c r="P139" s="480"/>
      <c r="Q139" s="480"/>
      <c r="R139" s="480"/>
      <c r="S139" s="480"/>
      <c r="T139" s="480"/>
      <c r="U139" s="480"/>
      <c r="V139" s="480"/>
      <c r="W139" s="480"/>
      <c r="X139" s="480"/>
      <c r="Y139" s="480">
        <f>1076/1800</f>
        <v>0.5978</v>
      </c>
      <c r="Z139" s="480"/>
      <c r="AA139" s="480"/>
      <c r="AB139" s="480"/>
      <c r="AC139" s="393" t="e">
        <f t="shared" si="54"/>
        <v>#DIV/0!</v>
      </c>
      <c r="AD139" s="393" t="e">
        <f t="shared" si="55"/>
        <v>#DIV/0!</v>
      </c>
      <c r="AE139" s="393" t="e">
        <f t="shared" si="56"/>
        <v>#DIV/0!</v>
      </c>
      <c r="AF139" s="393" t="e">
        <f t="shared" si="57"/>
        <v>#DIV/0!</v>
      </c>
      <c r="AG139" s="393" t="e">
        <f t="shared" si="58"/>
        <v>#DIV/0!</v>
      </c>
      <c r="AH139" s="393" t="e">
        <f t="shared" si="59"/>
        <v>#DIV/0!</v>
      </c>
      <c r="AI139" s="393" t="e">
        <f t="shared" si="60"/>
        <v>#DIV/0!</v>
      </c>
      <c r="AJ139" s="393" t="e">
        <f t="shared" si="61"/>
        <v>#DIV/0!</v>
      </c>
      <c r="AK139" s="393" t="e">
        <f t="shared" si="62"/>
        <v>#DIV/0!</v>
      </c>
      <c r="AL139" s="393" t="e">
        <f t="shared" si="63"/>
        <v>#DIV/0!</v>
      </c>
      <c r="AM139" s="393" t="e">
        <f t="shared" si="64"/>
        <v>#DIV/0!</v>
      </c>
      <c r="AN139" s="393" t="e">
        <f t="shared" si="65"/>
        <v>#DIV/0!</v>
      </c>
      <c r="AO139" s="393" t="e">
        <f t="shared" si="66"/>
        <v>#DIV/0!</v>
      </c>
      <c r="AP139" s="393" t="e">
        <f t="shared" si="67"/>
        <v>#DIV/0!</v>
      </c>
      <c r="AQ139" s="393" t="e">
        <f t="shared" si="68"/>
        <v>#DIV/0!</v>
      </c>
      <c r="AR139" s="393" t="e">
        <f t="shared" si="69"/>
        <v>#DIV/0!</v>
      </c>
      <c r="AS139" s="393" t="e">
        <f t="shared" si="70"/>
        <v>#DIV/0!</v>
      </c>
      <c r="AT139" s="393" t="e">
        <f t="shared" si="71"/>
        <v>#DIV/0!</v>
      </c>
      <c r="AU139" s="393" t="e">
        <f t="shared" si="72"/>
        <v>#DIV/0!</v>
      </c>
      <c r="AV139" s="393" t="e">
        <f t="shared" si="73"/>
        <v>#DIV/0!</v>
      </c>
      <c r="AW139" s="393" t="e">
        <f t="shared" si="74"/>
        <v>#DIV/0!</v>
      </c>
      <c r="AX139" s="393" t="e">
        <f t="shared" si="75"/>
        <v>#DIV/0!</v>
      </c>
      <c r="AY139" s="393" t="e">
        <f t="shared" si="76"/>
        <v>#DIV/0!</v>
      </c>
      <c r="AZ139" s="393">
        <f t="shared" si="77"/>
        <v>-100</v>
      </c>
      <c r="BA139" s="393" t="e">
        <f t="shared" si="78"/>
        <v>#DIV/0!</v>
      </c>
      <c r="BB139" s="393" t="e">
        <f t="shared" si="79"/>
        <v>#DIV/0!</v>
      </c>
    </row>
    <row r="140" spans="1:54" x14ac:dyDescent="0.25">
      <c r="A140" s="361" t="s">
        <v>1563</v>
      </c>
      <c r="B140" s="480"/>
      <c r="C140" s="480"/>
      <c r="D140" s="480"/>
      <c r="E140" s="480"/>
      <c r="F140" s="480"/>
      <c r="G140" s="480"/>
      <c r="H140" s="480"/>
      <c r="I140" s="480"/>
      <c r="J140" s="480"/>
      <c r="K140" s="480"/>
      <c r="L140" s="480"/>
      <c r="M140" s="480"/>
      <c r="N140" s="480"/>
      <c r="O140" s="480"/>
      <c r="P140" s="480">
        <f>1108/1800</f>
        <v>0.61560000000000004</v>
      </c>
      <c r="Q140" s="480"/>
      <c r="R140" s="480"/>
      <c r="S140" s="480">
        <f>1092/1800</f>
        <v>0.60670000000000002</v>
      </c>
      <c r="T140" s="480">
        <f>736/1200</f>
        <v>0.61329999999999996</v>
      </c>
      <c r="U140" s="480">
        <f>1146/1800</f>
        <v>0.63670000000000004</v>
      </c>
      <c r="V140" s="480"/>
      <c r="W140" s="480"/>
      <c r="X140" s="480"/>
      <c r="Y140" s="480"/>
      <c r="Z140" s="480"/>
      <c r="AA140" s="480"/>
      <c r="AB140" s="480"/>
      <c r="AC140" s="393" t="e">
        <f t="shared" si="54"/>
        <v>#DIV/0!</v>
      </c>
      <c r="AD140" s="393" t="e">
        <f t="shared" si="55"/>
        <v>#DIV/0!</v>
      </c>
      <c r="AE140" s="393" t="e">
        <f t="shared" si="56"/>
        <v>#DIV/0!</v>
      </c>
      <c r="AF140" s="393" t="e">
        <f t="shared" si="57"/>
        <v>#DIV/0!</v>
      </c>
      <c r="AG140" s="393" t="e">
        <f t="shared" si="58"/>
        <v>#DIV/0!</v>
      </c>
      <c r="AH140" s="393" t="e">
        <f t="shared" si="59"/>
        <v>#DIV/0!</v>
      </c>
      <c r="AI140" s="393" t="e">
        <f t="shared" si="60"/>
        <v>#DIV/0!</v>
      </c>
      <c r="AJ140" s="393" t="e">
        <f t="shared" si="61"/>
        <v>#DIV/0!</v>
      </c>
      <c r="AK140" s="393" t="e">
        <f t="shared" si="62"/>
        <v>#DIV/0!</v>
      </c>
      <c r="AL140" s="393" t="e">
        <f t="shared" si="63"/>
        <v>#DIV/0!</v>
      </c>
      <c r="AM140" s="393" t="e">
        <f t="shared" si="64"/>
        <v>#DIV/0!</v>
      </c>
      <c r="AN140" s="393" t="e">
        <f t="shared" si="65"/>
        <v>#DIV/0!</v>
      </c>
      <c r="AO140" s="393" t="e">
        <f t="shared" si="66"/>
        <v>#DIV/0!</v>
      </c>
      <c r="AP140" s="393" t="e">
        <f t="shared" si="67"/>
        <v>#DIV/0!</v>
      </c>
      <c r="AQ140" s="393">
        <f t="shared" si="68"/>
        <v>-100</v>
      </c>
      <c r="AR140" s="393" t="e">
        <f t="shared" si="69"/>
        <v>#DIV/0!</v>
      </c>
      <c r="AS140" s="393" t="e">
        <f t="shared" si="70"/>
        <v>#DIV/0!</v>
      </c>
      <c r="AT140" s="393">
        <f t="shared" si="71"/>
        <v>1.0880000000000001</v>
      </c>
      <c r="AU140" s="393">
        <f t="shared" si="72"/>
        <v>3.8149999999999999</v>
      </c>
      <c r="AV140" s="393">
        <f t="shared" si="73"/>
        <v>-100</v>
      </c>
      <c r="AW140" s="393" t="e">
        <f t="shared" si="74"/>
        <v>#DIV/0!</v>
      </c>
      <c r="AX140" s="393" t="e">
        <f t="shared" si="75"/>
        <v>#DIV/0!</v>
      </c>
      <c r="AY140" s="393" t="e">
        <f t="shared" si="76"/>
        <v>#DIV/0!</v>
      </c>
      <c r="AZ140" s="393" t="e">
        <f t="shared" si="77"/>
        <v>#DIV/0!</v>
      </c>
      <c r="BA140" s="393" t="e">
        <f t="shared" si="78"/>
        <v>#DIV/0!</v>
      </c>
      <c r="BB140" s="393" t="e">
        <f t="shared" si="79"/>
        <v>#DIV/0!</v>
      </c>
    </row>
    <row r="141" spans="1:54" x14ac:dyDescent="0.25">
      <c r="A141" s="361" t="s">
        <v>2525</v>
      </c>
      <c r="B141" s="480"/>
      <c r="C141" s="480"/>
      <c r="D141" s="480"/>
      <c r="E141" s="480"/>
      <c r="F141" s="480"/>
      <c r="G141" s="480"/>
      <c r="H141" s="480"/>
      <c r="I141" s="480"/>
      <c r="J141" s="480"/>
      <c r="K141" s="480"/>
      <c r="L141" s="480"/>
      <c r="M141" s="480"/>
      <c r="N141" s="480"/>
      <c r="O141" s="480"/>
      <c r="P141" s="480">
        <f>985/1800</f>
        <v>0.54720000000000002</v>
      </c>
      <c r="Q141" s="480">
        <f>1024/1800</f>
        <v>0.56889999999999996</v>
      </c>
      <c r="R141" s="480">
        <f>1017/1800</f>
        <v>0.56499999999999995</v>
      </c>
      <c r="S141" s="480"/>
      <c r="T141" s="480">
        <f>660/1200</f>
        <v>0.55000000000000004</v>
      </c>
      <c r="U141" s="480"/>
      <c r="V141" s="480"/>
      <c r="W141" s="480">
        <f>722/1200</f>
        <v>0.60170000000000001</v>
      </c>
      <c r="X141" s="480"/>
      <c r="Y141" s="480"/>
      <c r="Z141" s="480"/>
      <c r="AA141" s="480"/>
      <c r="AB141" s="480"/>
      <c r="AC141" s="393" t="e">
        <f t="shared" si="54"/>
        <v>#DIV/0!</v>
      </c>
      <c r="AD141" s="393" t="e">
        <f t="shared" si="55"/>
        <v>#DIV/0!</v>
      </c>
      <c r="AE141" s="393" t="e">
        <f t="shared" si="56"/>
        <v>#DIV/0!</v>
      </c>
      <c r="AF141" s="393" t="e">
        <f t="shared" si="57"/>
        <v>#DIV/0!</v>
      </c>
      <c r="AG141" s="393" t="e">
        <f t="shared" si="58"/>
        <v>#DIV/0!</v>
      </c>
      <c r="AH141" s="393" t="e">
        <f t="shared" si="59"/>
        <v>#DIV/0!</v>
      </c>
      <c r="AI141" s="393" t="e">
        <f t="shared" si="60"/>
        <v>#DIV/0!</v>
      </c>
      <c r="AJ141" s="393" t="e">
        <f t="shared" si="61"/>
        <v>#DIV/0!</v>
      </c>
      <c r="AK141" s="393" t="e">
        <f t="shared" si="62"/>
        <v>#DIV/0!</v>
      </c>
      <c r="AL141" s="393" t="e">
        <f t="shared" si="63"/>
        <v>#DIV/0!</v>
      </c>
      <c r="AM141" s="393" t="e">
        <f t="shared" si="64"/>
        <v>#DIV/0!</v>
      </c>
      <c r="AN141" s="393" t="e">
        <f t="shared" si="65"/>
        <v>#DIV/0!</v>
      </c>
      <c r="AO141" s="393" t="e">
        <f t="shared" si="66"/>
        <v>#DIV/0!</v>
      </c>
      <c r="AP141" s="393" t="e">
        <f t="shared" si="67"/>
        <v>#DIV/0!</v>
      </c>
      <c r="AQ141" s="393">
        <f t="shared" si="68"/>
        <v>3.9660000000000002</v>
      </c>
      <c r="AR141" s="393">
        <f t="shared" si="69"/>
        <v>-0.68600000000000005</v>
      </c>
      <c r="AS141" s="393">
        <f t="shared" si="70"/>
        <v>-100</v>
      </c>
      <c r="AT141" s="393" t="e">
        <f t="shared" si="71"/>
        <v>#DIV/0!</v>
      </c>
      <c r="AU141" s="393">
        <f t="shared" si="72"/>
        <v>-100</v>
      </c>
      <c r="AV141" s="393" t="e">
        <f t="shared" si="73"/>
        <v>#DIV/0!</v>
      </c>
      <c r="AW141" s="393" t="e">
        <f t="shared" si="74"/>
        <v>#DIV/0!</v>
      </c>
      <c r="AX141" s="393">
        <f t="shared" si="75"/>
        <v>-100</v>
      </c>
      <c r="AY141" s="393" t="e">
        <f t="shared" si="76"/>
        <v>#DIV/0!</v>
      </c>
      <c r="AZ141" s="393" t="e">
        <f t="shared" si="77"/>
        <v>#DIV/0!</v>
      </c>
      <c r="BA141" s="393" t="e">
        <f t="shared" si="78"/>
        <v>#DIV/0!</v>
      </c>
      <c r="BB141" s="393" t="e">
        <f t="shared" si="79"/>
        <v>#DIV/0!</v>
      </c>
    </row>
    <row r="142" spans="1:54" x14ac:dyDescent="0.25">
      <c r="A142" s="360" t="s">
        <v>2622</v>
      </c>
      <c r="B142" s="480"/>
      <c r="C142" s="480"/>
      <c r="D142" s="480"/>
      <c r="E142" s="480"/>
      <c r="F142" s="480"/>
      <c r="G142" s="480"/>
      <c r="H142" s="480">
        <f>742/1200</f>
        <v>0.61829999999999996</v>
      </c>
      <c r="I142" s="480"/>
      <c r="J142" s="480"/>
      <c r="K142" s="480"/>
      <c r="L142" s="480"/>
      <c r="M142" s="480"/>
      <c r="N142" s="480"/>
      <c r="O142" s="480"/>
      <c r="P142" s="480"/>
      <c r="Q142" s="480"/>
      <c r="R142" s="480"/>
      <c r="S142" s="480"/>
      <c r="T142" s="480"/>
      <c r="U142" s="480"/>
      <c r="V142" s="480"/>
      <c r="W142" s="480"/>
      <c r="X142" s="480"/>
      <c r="Y142" s="480"/>
      <c r="Z142" s="480"/>
      <c r="AA142" s="480"/>
      <c r="AB142" s="480"/>
      <c r="AC142" s="393" t="e">
        <f t="shared" si="54"/>
        <v>#DIV/0!</v>
      </c>
      <c r="AD142" s="393" t="e">
        <f t="shared" si="55"/>
        <v>#DIV/0!</v>
      </c>
      <c r="AE142" s="393" t="e">
        <f t="shared" si="56"/>
        <v>#DIV/0!</v>
      </c>
      <c r="AF142" s="393" t="e">
        <f t="shared" si="57"/>
        <v>#DIV/0!</v>
      </c>
      <c r="AG142" s="393" t="e">
        <f t="shared" si="58"/>
        <v>#DIV/0!</v>
      </c>
      <c r="AH142" s="393" t="e">
        <f t="shared" si="59"/>
        <v>#DIV/0!</v>
      </c>
      <c r="AI142" s="393">
        <f t="shared" si="60"/>
        <v>-100</v>
      </c>
      <c r="AJ142" s="393" t="e">
        <f t="shared" si="61"/>
        <v>#DIV/0!</v>
      </c>
      <c r="AK142" s="393" t="e">
        <f t="shared" si="62"/>
        <v>#DIV/0!</v>
      </c>
      <c r="AL142" s="393" t="e">
        <f t="shared" si="63"/>
        <v>#DIV/0!</v>
      </c>
      <c r="AM142" s="393" t="e">
        <f t="shared" si="64"/>
        <v>#DIV/0!</v>
      </c>
      <c r="AN142" s="393" t="e">
        <f t="shared" si="65"/>
        <v>#DIV/0!</v>
      </c>
      <c r="AO142" s="393" t="e">
        <f t="shared" si="66"/>
        <v>#DIV/0!</v>
      </c>
      <c r="AP142" s="393" t="e">
        <f t="shared" si="67"/>
        <v>#DIV/0!</v>
      </c>
      <c r="AQ142" s="393" t="e">
        <f t="shared" si="68"/>
        <v>#DIV/0!</v>
      </c>
      <c r="AR142" s="393" t="e">
        <f t="shared" si="69"/>
        <v>#DIV/0!</v>
      </c>
      <c r="AS142" s="393" t="e">
        <f t="shared" si="70"/>
        <v>#DIV/0!</v>
      </c>
      <c r="AT142" s="393" t="e">
        <f t="shared" si="71"/>
        <v>#DIV/0!</v>
      </c>
      <c r="AU142" s="393" t="e">
        <f t="shared" si="72"/>
        <v>#DIV/0!</v>
      </c>
      <c r="AV142" s="393" t="e">
        <f t="shared" si="73"/>
        <v>#DIV/0!</v>
      </c>
      <c r="AW142" s="393" t="e">
        <f t="shared" si="74"/>
        <v>#DIV/0!</v>
      </c>
      <c r="AX142" s="393" t="e">
        <f t="shared" si="75"/>
        <v>#DIV/0!</v>
      </c>
      <c r="AY142" s="393" t="e">
        <f t="shared" si="76"/>
        <v>#DIV/0!</v>
      </c>
      <c r="AZ142" s="393" t="e">
        <f t="shared" si="77"/>
        <v>#DIV/0!</v>
      </c>
      <c r="BA142" s="393" t="e">
        <f t="shared" si="78"/>
        <v>#DIV/0!</v>
      </c>
      <c r="BB142" s="393" t="e">
        <f t="shared" si="79"/>
        <v>#DIV/0!</v>
      </c>
    </row>
    <row r="143" spans="1:54" x14ac:dyDescent="0.25">
      <c r="A143" s="360" t="s">
        <v>3573</v>
      </c>
      <c r="B143" s="480"/>
      <c r="C143" s="480"/>
      <c r="D143" s="480"/>
      <c r="E143" s="480"/>
      <c r="F143" s="480"/>
      <c r="G143" s="480">
        <f>1624/2400</f>
        <v>0.67669999999999997</v>
      </c>
      <c r="H143" s="480">
        <f>780/1200</f>
        <v>0.65</v>
      </c>
      <c r="I143" s="480"/>
      <c r="J143" s="480"/>
      <c r="K143" s="480"/>
      <c r="L143" s="480"/>
      <c r="M143" s="480"/>
      <c r="N143" s="480"/>
      <c r="O143" s="480"/>
      <c r="P143" s="480"/>
      <c r="Q143" s="480"/>
      <c r="R143" s="480"/>
      <c r="S143" s="480"/>
      <c r="T143" s="480"/>
      <c r="U143" s="480"/>
      <c r="V143" s="480"/>
      <c r="W143" s="480"/>
      <c r="X143" s="480"/>
      <c r="Y143" s="480"/>
      <c r="Z143" s="480"/>
      <c r="AA143" s="480"/>
      <c r="AB143" s="480"/>
      <c r="AC143" s="393" t="e">
        <f t="shared" si="54"/>
        <v>#DIV/0!</v>
      </c>
      <c r="AD143" s="393" t="e">
        <f t="shared" si="55"/>
        <v>#DIV/0!</v>
      </c>
      <c r="AE143" s="393" t="e">
        <f t="shared" si="56"/>
        <v>#DIV/0!</v>
      </c>
      <c r="AF143" s="393" t="e">
        <f t="shared" si="57"/>
        <v>#DIV/0!</v>
      </c>
      <c r="AG143" s="393" t="e">
        <f t="shared" si="58"/>
        <v>#DIV/0!</v>
      </c>
      <c r="AH143" s="393">
        <f t="shared" si="59"/>
        <v>-3.9460000000000002</v>
      </c>
      <c r="AI143" s="393">
        <f t="shared" si="60"/>
        <v>-100</v>
      </c>
      <c r="AJ143" s="393" t="e">
        <f t="shared" si="61"/>
        <v>#DIV/0!</v>
      </c>
      <c r="AK143" s="393" t="e">
        <f t="shared" si="62"/>
        <v>#DIV/0!</v>
      </c>
      <c r="AL143" s="393" t="e">
        <f t="shared" si="63"/>
        <v>#DIV/0!</v>
      </c>
      <c r="AM143" s="393" t="e">
        <f t="shared" si="64"/>
        <v>#DIV/0!</v>
      </c>
      <c r="AN143" s="393" t="e">
        <f t="shared" si="65"/>
        <v>#DIV/0!</v>
      </c>
      <c r="AO143" s="393" t="e">
        <f t="shared" si="66"/>
        <v>#DIV/0!</v>
      </c>
      <c r="AP143" s="393" t="e">
        <f t="shared" si="67"/>
        <v>#DIV/0!</v>
      </c>
      <c r="AQ143" s="393" t="e">
        <f t="shared" si="68"/>
        <v>#DIV/0!</v>
      </c>
      <c r="AR143" s="393" t="e">
        <f t="shared" si="69"/>
        <v>#DIV/0!</v>
      </c>
      <c r="AS143" s="393" t="e">
        <f t="shared" si="70"/>
        <v>#DIV/0!</v>
      </c>
      <c r="AT143" s="393" t="e">
        <f t="shared" si="71"/>
        <v>#DIV/0!</v>
      </c>
      <c r="AU143" s="393" t="e">
        <f t="shared" si="72"/>
        <v>#DIV/0!</v>
      </c>
      <c r="AV143" s="393" t="e">
        <f t="shared" si="73"/>
        <v>#DIV/0!</v>
      </c>
      <c r="AW143" s="393" t="e">
        <f t="shared" si="74"/>
        <v>#DIV/0!</v>
      </c>
      <c r="AX143" s="393" t="e">
        <f t="shared" si="75"/>
        <v>#DIV/0!</v>
      </c>
      <c r="AY143" s="393" t="e">
        <f t="shared" si="76"/>
        <v>#DIV/0!</v>
      </c>
      <c r="AZ143" s="393" t="e">
        <f t="shared" si="77"/>
        <v>#DIV/0!</v>
      </c>
      <c r="BA143" s="393" t="e">
        <f t="shared" si="78"/>
        <v>#DIV/0!</v>
      </c>
      <c r="BB143" s="393" t="e">
        <f t="shared" si="79"/>
        <v>#DIV/0!</v>
      </c>
    </row>
    <row r="144" spans="1:54" x14ac:dyDescent="0.25">
      <c r="A144" s="362" t="s">
        <v>1000</v>
      </c>
      <c r="B144" s="480"/>
      <c r="C144" s="480"/>
      <c r="D144" s="480"/>
      <c r="E144" s="480"/>
      <c r="F144" s="480"/>
      <c r="G144" s="480"/>
      <c r="H144" s="480"/>
      <c r="I144" s="480"/>
      <c r="J144" s="480"/>
      <c r="K144" s="480"/>
      <c r="L144" s="480"/>
      <c r="M144" s="480"/>
      <c r="N144" s="480"/>
      <c r="O144" s="480"/>
      <c r="P144" s="480"/>
      <c r="Q144" s="480"/>
      <c r="R144" s="480"/>
      <c r="S144" s="480"/>
      <c r="T144" s="480"/>
      <c r="U144" s="480"/>
      <c r="V144" s="480"/>
      <c r="W144" s="480">
        <f>606/1200</f>
        <v>0.505</v>
      </c>
      <c r="X144" s="480"/>
      <c r="Y144" s="480"/>
      <c r="Z144" s="480"/>
      <c r="AA144" s="480"/>
      <c r="AB144" s="480"/>
      <c r="AC144" s="393" t="e">
        <f t="shared" si="54"/>
        <v>#DIV/0!</v>
      </c>
      <c r="AD144" s="393" t="e">
        <f t="shared" si="55"/>
        <v>#DIV/0!</v>
      </c>
      <c r="AE144" s="393" t="e">
        <f t="shared" si="56"/>
        <v>#DIV/0!</v>
      </c>
      <c r="AF144" s="393" t="e">
        <f t="shared" si="57"/>
        <v>#DIV/0!</v>
      </c>
      <c r="AG144" s="393" t="e">
        <f t="shared" si="58"/>
        <v>#DIV/0!</v>
      </c>
      <c r="AH144" s="393" t="e">
        <f t="shared" si="59"/>
        <v>#DIV/0!</v>
      </c>
      <c r="AI144" s="393" t="e">
        <f t="shared" si="60"/>
        <v>#DIV/0!</v>
      </c>
      <c r="AJ144" s="393" t="e">
        <f t="shared" si="61"/>
        <v>#DIV/0!</v>
      </c>
      <c r="AK144" s="393" t="e">
        <f t="shared" si="62"/>
        <v>#DIV/0!</v>
      </c>
      <c r="AL144" s="393" t="e">
        <f t="shared" si="63"/>
        <v>#DIV/0!</v>
      </c>
      <c r="AM144" s="393" t="e">
        <f t="shared" si="64"/>
        <v>#DIV/0!</v>
      </c>
      <c r="AN144" s="393" t="e">
        <f t="shared" si="65"/>
        <v>#DIV/0!</v>
      </c>
      <c r="AO144" s="393" t="e">
        <f t="shared" si="66"/>
        <v>#DIV/0!</v>
      </c>
      <c r="AP144" s="393" t="e">
        <f t="shared" si="67"/>
        <v>#DIV/0!</v>
      </c>
      <c r="AQ144" s="393" t="e">
        <f t="shared" si="68"/>
        <v>#DIV/0!</v>
      </c>
      <c r="AR144" s="393" t="e">
        <f t="shared" si="69"/>
        <v>#DIV/0!</v>
      </c>
      <c r="AS144" s="393" t="e">
        <f t="shared" si="70"/>
        <v>#DIV/0!</v>
      </c>
      <c r="AT144" s="393" t="e">
        <f t="shared" si="71"/>
        <v>#DIV/0!</v>
      </c>
      <c r="AU144" s="393" t="e">
        <f t="shared" si="72"/>
        <v>#DIV/0!</v>
      </c>
      <c r="AV144" s="393" t="e">
        <f t="shared" si="73"/>
        <v>#DIV/0!</v>
      </c>
      <c r="AW144" s="393" t="e">
        <f t="shared" si="74"/>
        <v>#DIV/0!</v>
      </c>
      <c r="AX144" s="393">
        <f t="shared" si="75"/>
        <v>-100</v>
      </c>
      <c r="AY144" s="393" t="e">
        <f t="shared" si="76"/>
        <v>#DIV/0!</v>
      </c>
      <c r="AZ144" s="393" t="e">
        <f t="shared" si="77"/>
        <v>#DIV/0!</v>
      </c>
      <c r="BA144" s="393" t="e">
        <f t="shared" si="78"/>
        <v>#DIV/0!</v>
      </c>
      <c r="BB144" s="393" t="e">
        <f t="shared" si="79"/>
        <v>#DIV/0!</v>
      </c>
    </row>
    <row r="145" spans="1:54" x14ac:dyDescent="0.25">
      <c r="A145" s="360" t="s">
        <v>4812</v>
      </c>
      <c r="B145" s="480"/>
      <c r="C145" s="480"/>
      <c r="D145" s="480"/>
      <c r="E145" s="480"/>
      <c r="F145" s="480"/>
      <c r="G145" s="480"/>
      <c r="H145" s="480"/>
      <c r="I145" s="480"/>
      <c r="J145" s="480"/>
      <c r="K145" s="480"/>
      <c r="L145" s="480"/>
      <c r="M145" s="480"/>
      <c r="N145" s="480"/>
      <c r="O145" s="480"/>
      <c r="P145" s="480"/>
      <c r="Q145" s="480"/>
      <c r="R145" s="480"/>
      <c r="S145" s="480"/>
      <c r="T145" s="480"/>
      <c r="U145" s="480"/>
      <c r="V145" s="480"/>
      <c r="W145" s="480"/>
      <c r="X145" s="480"/>
      <c r="Y145" s="480"/>
      <c r="Z145" s="480"/>
      <c r="AA145" s="480"/>
      <c r="AB145" s="480">
        <v>0.67200000000000004</v>
      </c>
      <c r="AC145" s="393" t="e">
        <f t="shared" si="54"/>
        <v>#DIV/0!</v>
      </c>
      <c r="AD145" s="393" t="e">
        <f t="shared" si="55"/>
        <v>#DIV/0!</v>
      </c>
      <c r="AE145" s="393" t="e">
        <f t="shared" si="56"/>
        <v>#DIV/0!</v>
      </c>
      <c r="AF145" s="393" t="e">
        <f t="shared" si="57"/>
        <v>#DIV/0!</v>
      </c>
      <c r="AG145" s="393" t="e">
        <f t="shared" si="58"/>
        <v>#DIV/0!</v>
      </c>
      <c r="AH145" s="393" t="e">
        <f t="shared" si="59"/>
        <v>#DIV/0!</v>
      </c>
      <c r="AI145" s="393" t="e">
        <f t="shared" si="60"/>
        <v>#DIV/0!</v>
      </c>
      <c r="AJ145" s="393" t="e">
        <f t="shared" si="61"/>
        <v>#DIV/0!</v>
      </c>
      <c r="AK145" s="393" t="e">
        <f t="shared" si="62"/>
        <v>#DIV/0!</v>
      </c>
      <c r="AL145" s="393" t="e">
        <f t="shared" si="63"/>
        <v>#DIV/0!</v>
      </c>
      <c r="AM145" s="393" t="e">
        <f t="shared" si="64"/>
        <v>#DIV/0!</v>
      </c>
      <c r="AN145" s="393" t="e">
        <f t="shared" si="65"/>
        <v>#DIV/0!</v>
      </c>
      <c r="AO145" s="393" t="e">
        <f t="shared" si="66"/>
        <v>#DIV/0!</v>
      </c>
      <c r="AP145" s="393" t="e">
        <f t="shared" si="67"/>
        <v>#DIV/0!</v>
      </c>
      <c r="AQ145" s="393" t="e">
        <f t="shared" si="68"/>
        <v>#DIV/0!</v>
      </c>
      <c r="AR145" s="393" t="e">
        <f t="shared" si="69"/>
        <v>#DIV/0!</v>
      </c>
      <c r="AS145" s="393" t="e">
        <f t="shared" si="70"/>
        <v>#DIV/0!</v>
      </c>
      <c r="AT145" s="393" t="e">
        <f t="shared" si="71"/>
        <v>#DIV/0!</v>
      </c>
      <c r="AU145" s="393" t="e">
        <f t="shared" si="72"/>
        <v>#DIV/0!</v>
      </c>
      <c r="AV145" s="393" t="e">
        <f t="shared" si="73"/>
        <v>#DIV/0!</v>
      </c>
      <c r="AW145" s="393" t="e">
        <f t="shared" si="74"/>
        <v>#DIV/0!</v>
      </c>
      <c r="AX145" s="393" t="e">
        <f t="shared" si="75"/>
        <v>#DIV/0!</v>
      </c>
      <c r="AY145" s="393" t="e">
        <f t="shared" si="76"/>
        <v>#DIV/0!</v>
      </c>
      <c r="AZ145" s="393" t="e">
        <f t="shared" si="77"/>
        <v>#DIV/0!</v>
      </c>
      <c r="BA145" s="393" t="e">
        <f t="shared" si="78"/>
        <v>#DIV/0!</v>
      </c>
      <c r="BB145" s="393" t="e">
        <f t="shared" si="79"/>
        <v>#DIV/0!</v>
      </c>
    </row>
    <row r="146" spans="1:54" x14ac:dyDescent="0.25">
      <c r="A146" s="361" t="s">
        <v>3996</v>
      </c>
      <c r="B146" s="480"/>
      <c r="C146" s="480"/>
      <c r="D146" s="480"/>
      <c r="E146" s="480"/>
      <c r="F146" s="480"/>
      <c r="G146" s="480"/>
      <c r="H146" s="480"/>
      <c r="I146" s="480"/>
      <c r="J146" s="480"/>
      <c r="K146" s="480"/>
      <c r="L146" s="480"/>
      <c r="M146" s="480"/>
      <c r="N146" s="480"/>
      <c r="O146" s="480"/>
      <c r="P146" s="480"/>
      <c r="Q146" s="480"/>
      <c r="R146" s="480"/>
      <c r="S146" s="480"/>
      <c r="T146" s="480"/>
      <c r="U146" s="480">
        <f>1108/1800</f>
        <v>0.61560000000000004</v>
      </c>
      <c r="V146" s="480"/>
      <c r="W146" s="480"/>
      <c r="X146" s="480"/>
      <c r="Y146" s="480"/>
      <c r="Z146" s="480"/>
      <c r="AA146" s="480"/>
      <c r="AB146" s="480"/>
      <c r="AC146" s="393" t="e">
        <f t="shared" si="54"/>
        <v>#DIV/0!</v>
      </c>
      <c r="AD146" s="393" t="e">
        <f t="shared" si="55"/>
        <v>#DIV/0!</v>
      </c>
      <c r="AE146" s="393" t="e">
        <f t="shared" si="56"/>
        <v>#DIV/0!</v>
      </c>
      <c r="AF146" s="393" t="e">
        <f t="shared" si="57"/>
        <v>#DIV/0!</v>
      </c>
      <c r="AG146" s="393" t="e">
        <f t="shared" si="58"/>
        <v>#DIV/0!</v>
      </c>
      <c r="AH146" s="393" t="e">
        <f t="shared" si="59"/>
        <v>#DIV/0!</v>
      </c>
      <c r="AI146" s="393" t="e">
        <f t="shared" si="60"/>
        <v>#DIV/0!</v>
      </c>
      <c r="AJ146" s="393" t="e">
        <f t="shared" si="61"/>
        <v>#DIV/0!</v>
      </c>
      <c r="AK146" s="393" t="e">
        <f t="shared" si="62"/>
        <v>#DIV/0!</v>
      </c>
      <c r="AL146" s="393" t="e">
        <f t="shared" si="63"/>
        <v>#DIV/0!</v>
      </c>
      <c r="AM146" s="393" t="e">
        <f t="shared" si="64"/>
        <v>#DIV/0!</v>
      </c>
      <c r="AN146" s="393" t="e">
        <f t="shared" si="65"/>
        <v>#DIV/0!</v>
      </c>
      <c r="AO146" s="393" t="e">
        <f t="shared" si="66"/>
        <v>#DIV/0!</v>
      </c>
      <c r="AP146" s="393" t="e">
        <f t="shared" si="67"/>
        <v>#DIV/0!</v>
      </c>
      <c r="AQ146" s="393" t="e">
        <f t="shared" si="68"/>
        <v>#DIV/0!</v>
      </c>
      <c r="AR146" s="393" t="e">
        <f t="shared" si="69"/>
        <v>#DIV/0!</v>
      </c>
      <c r="AS146" s="393" t="e">
        <f t="shared" si="70"/>
        <v>#DIV/0!</v>
      </c>
      <c r="AT146" s="393" t="e">
        <f t="shared" si="71"/>
        <v>#DIV/0!</v>
      </c>
      <c r="AU146" s="393" t="e">
        <f t="shared" si="72"/>
        <v>#DIV/0!</v>
      </c>
      <c r="AV146" s="393">
        <f t="shared" si="73"/>
        <v>-100</v>
      </c>
      <c r="AW146" s="393" t="e">
        <f t="shared" si="74"/>
        <v>#DIV/0!</v>
      </c>
      <c r="AX146" s="393" t="e">
        <f t="shared" si="75"/>
        <v>#DIV/0!</v>
      </c>
      <c r="AY146" s="393" t="e">
        <f t="shared" si="76"/>
        <v>#DIV/0!</v>
      </c>
      <c r="AZ146" s="393" t="e">
        <f t="shared" si="77"/>
        <v>#DIV/0!</v>
      </c>
      <c r="BA146" s="393" t="e">
        <f t="shared" si="78"/>
        <v>#DIV/0!</v>
      </c>
      <c r="BB146" s="393" t="e">
        <f t="shared" si="79"/>
        <v>#DIV/0!</v>
      </c>
    </row>
    <row r="147" spans="1:54" x14ac:dyDescent="0.25">
      <c r="A147" s="361" t="s">
        <v>58</v>
      </c>
      <c r="B147" s="480"/>
      <c r="C147" s="480"/>
      <c r="D147" s="480"/>
      <c r="E147" s="480"/>
      <c r="F147" s="480"/>
      <c r="G147" s="480"/>
      <c r="H147" s="480"/>
      <c r="I147" s="480"/>
      <c r="J147" s="480"/>
      <c r="K147" s="480"/>
      <c r="L147" s="480"/>
      <c r="M147" s="480"/>
      <c r="N147" s="480"/>
      <c r="O147" s="480"/>
      <c r="P147" s="480"/>
      <c r="Q147" s="480"/>
      <c r="R147" s="480"/>
      <c r="S147" s="480"/>
      <c r="T147" s="480"/>
      <c r="U147" s="480">
        <f>1064/1800</f>
        <v>0.59109999999999996</v>
      </c>
      <c r="V147" s="480"/>
      <c r="W147" s="480"/>
      <c r="X147" s="480"/>
      <c r="Y147" s="480"/>
      <c r="Z147" s="480"/>
      <c r="AA147" s="480"/>
      <c r="AB147" s="480"/>
      <c r="AC147" s="393" t="e">
        <f t="shared" si="54"/>
        <v>#DIV/0!</v>
      </c>
      <c r="AD147" s="393" t="e">
        <f t="shared" si="55"/>
        <v>#DIV/0!</v>
      </c>
      <c r="AE147" s="393" t="e">
        <f t="shared" si="56"/>
        <v>#DIV/0!</v>
      </c>
      <c r="AF147" s="393" t="e">
        <f t="shared" si="57"/>
        <v>#DIV/0!</v>
      </c>
      <c r="AG147" s="393" t="e">
        <f t="shared" si="58"/>
        <v>#DIV/0!</v>
      </c>
      <c r="AH147" s="393" t="e">
        <f t="shared" si="59"/>
        <v>#DIV/0!</v>
      </c>
      <c r="AI147" s="393" t="e">
        <f t="shared" si="60"/>
        <v>#DIV/0!</v>
      </c>
      <c r="AJ147" s="393" t="e">
        <f t="shared" si="61"/>
        <v>#DIV/0!</v>
      </c>
      <c r="AK147" s="393" t="e">
        <f t="shared" si="62"/>
        <v>#DIV/0!</v>
      </c>
      <c r="AL147" s="393" t="e">
        <f t="shared" si="63"/>
        <v>#DIV/0!</v>
      </c>
      <c r="AM147" s="393" t="e">
        <f t="shared" si="64"/>
        <v>#DIV/0!</v>
      </c>
      <c r="AN147" s="393" t="e">
        <f t="shared" si="65"/>
        <v>#DIV/0!</v>
      </c>
      <c r="AO147" s="393" t="e">
        <f t="shared" si="66"/>
        <v>#DIV/0!</v>
      </c>
      <c r="AP147" s="393" t="e">
        <f t="shared" si="67"/>
        <v>#DIV/0!</v>
      </c>
      <c r="AQ147" s="393" t="e">
        <f t="shared" si="68"/>
        <v>#DIV/0!</v>
      </c>
      <c r="AR147" s="393" t="e">
        <f t="shared" si="69"/>
        <v>#DIV/0!</v>
      </c>
      <c r="AS147" s="393" t="e">
        <f t="shared" si="70"/>
        <v>#DIV/0!</v>
      </c>
      <c r="AT147" s="393" t="e">
        <f t="shared" si="71"/>
        <v>#DIV/0!</v>
      </c>
      <c r="AU147" s="393" t="e">
        <f t="shared" si="72"/>
        <v>#DIV/0!</v>
      </c>
      <c r="AV147" s="393">
        <f t="shared" si="73"/>
        <v>-100</v>
      </c>
      <c r="AW147" s="393" t="e">
        <f t="shared" si="74"/>
        <v>#DIV/0!</v>
      </c>
      <c r="AX147" s="393" t="e">
        <f t="shared" si="75"/>
        <v>#DIV/0!</v>
      </c>
      <c r="AY147" s="393" t="e">
        <f t="shared" si="76"/>
        <v>#DIV/0!</v>
      </c>
      <c r="AZ147" s="393" t="e">
        <f t="shared" si="77"/>
        <v>#DIV/0!</v>
      </c>
      <c r="BA147" s="393" t="e">
        <f t="shared" si="78"/>
        <v>#DIV/0!</v>
      </c>
      <c r="BB147" s="393" t="e">
        <f t="shared" si="79"/>
        <v>#DIV/0!</v>
      </c>
    </row>
    <row r="148" spans="1:54" x14ac:dyDescent="0.25">
      <c r="A148" s="361" t="s">
        <v>1099</v>
      </c>
      <c r="B148" s="480"/>
      <c r="C148" s="480"/>
      <c r="D148" s="480"/>
      <c r="E148" s="480"/>
      <c r="F148" s="480"/>
      <c r="G148" s="480"/>
      <c r="H148" s="480"/>
      <c r="I148" s="480"/>
      <c r="J148" s="480"/>
      <c r="K148" s="480"/>
      <c r="L148" s="480"/>
      <c r="M148" s="480"/>
      <c r="N148" s="480"/>
      <c r="O148" s="480"/>
      <c r="P148" s="480"/>
      <c r="Q148" s="480"/>
      <c r="R148" s="480"/>
      <c r="S148" s="480"/>
      <c r="T148" s="480"/>
      <c r="U148" s="480"/>
      <c r="V148" s="481"/>
      <c r="W148" s="481"/>
      <c r="X148" s="481">
        <f>1185/1800</f>
        <v>0.6583</v>
      </c>
      <c r="Y148" s="481"/>
      <c r="Z148" s="481"/>
      <c r="AA148" s="481"/>
      <c r="AB148" s="481"/>
      <c r="AC148" s="393" t="e">
        <f t="shared" si="54"/>
        <v>#DIV/0!</v>
      </c>
      <c r="AD148" s="393" t="e">
        <f t="shared" si="55"/>
        <v>#DIV/0!</v>
      </c>
      <c r="AE148" s="393" t="e">
        <f t="shared" si="56"/>
        <v>#DIV/0!</v>
      </c>
      <c r="AF148" s="393" t="e">
        <f t="shared" si="57"/>
        <v>#DIV/0!</v>
      </c>
      <c r="AG148" s="393" t="e">
        <f t="shared" si="58"/>
        <v>#DIV/0!</v>
      </c>
      <c r="AH148" s="393" t="e">
        <f t="shared" si="59"/>
        <v>#DIV/0!</v>
      </c>
      <c r="AI148" s="393" t="e">
        <f t="shared" si="60"/>
        <v>#DIV/0!</v>
      </c>
      <c r="AJ148" s="393" t="e">
        <f t="shared" si="61"/>
        <v>#DIV/0!</v>
      </c>
      <c r="AK148" s="393" t="e">
        <f t="shared" si="62"/>
        <v>#DIV/0!</v>
      </c>
      <c r="AL148" s="393" t="e">
        <f t="shared" si="63"/>
        <v>#DIV/0!</v>
      </c>
      <c r="AM148" s="393" t="e">
        <f t="shared" si="64"/>
        <v>#DIV/0!</v>
      </c>
      <c r="AN148" s="393" t="e">
        <f t="shared" si="65"/>
        <v>#DIV/0!</v>
      </c>
      <c r="AO148" s="393" t="e">
        <f t="shared" si="66"/>
        <v>#DIV/0!</v>
      </c>
      <c r="AP148" s="393" t="e">
        <f t="shared" si="67"/>
        <v>#DIV/0!</v>
      </c>
      <c r="AQ148" s="393" t="e">
        <f t="shared" si="68"/>
        <v>#DIV/0!</v>
      </c>
      <c r="AR148" s="393" t="e">
        <f t="shared" si="69"/>
        <v>#DIV/0!</v>
      </c>
      <c r="AS148" s="393" t="e">
        <f t="shared" si="70"/>
        <v>#DIV/0!</v>
      </c>
      <c r="AT148" s="393" t="e">
        <f t="shared" si="71"/>
        <v>#DIV/0!</v>
      </c>
      <c r="AU148" s="393" t="e">
        <f t="shared" si="72"/>
        <v>#DIV/0!</v>
      </c>
      <c r="AV148" s="393" t="e">
        <f t="shared" si="73"/>
        <v>#DIV/0!</v>
      </c>
      <c r="AW148" s="393" t="e">
        <f t="shared" si="74"/>
        <v>#DIV/0!</v>
      </c>
      <c r="AX148" s="393" t="e">
        <f t="shared" si="75"/>
        <v>#DIV/0!</v>
      </c>
      <c r="AY148" s="393">
        <f t="shared" si="76"/>
        <v>-100</v>
      </c>
      <c r="AZ148" s="393" t="e">
        <f t="shared" si="77"/>
        <v>#DIV/0!</v>
      </c>
      <c r="BA148" s="393" t="e">
        <f t="shared" si="78"/>
        <v>#DIV/0!</v>
      </c>
      <c r="BB148" s="393" t="e">
        <f t="shared" si="79"/>
        <v>#DIV/0!</v>
      </c>
    </row>
    <row r="149" spans="1:54" x14ac:dyDescent="0.25">
      <c r="A149" s="361" t="s">
        <v>2619</v>
      </c>
      <c r="B149" s="480"/>
      <c r="C149" s="480"/>
      <c r="D149" s="480"/>
      <c r="E149" s="480"/>
      <c r="F149" s="480"/>
      <c r="G149" s="480">
        <f>1066/2400</f>
        <v>0.44419999999999998</v>
      </c>
      <c r="H149" s="480"/>
      <c r="I149" s="480">
        <f>607/1200</f>
        <v>0.50580000000000003</v>
      </c>
      <c r="J149" s="480">
        <f>618/1200</f>
        <v>0.51500000000000001</v>
      </c>
      <c r="K149" s="480">
        <f>660/1200</f>
        <v>0.55000000000000004</v>
      </c>
      <c r="L149" s="480">
        <f>703/1200</f>
        <v>0.58579999999999999</v>
      </c>
      <c r="M149" s="480"/>
      <c r="N149" s="480"/>
      <c r="O149" s="480"/>
      <c r="P149" s="480"/>
      <c r="Q149" s="480"/>
      <c r="R149" s="480"/>
      <c r="S149" s="480"/>
      <c r="T149" s="480"/>
      <c r="U149" s="480"/>
      <c r="V149" s="481"/>
      <c r="W149" s="481"/>
      <c r="X149" s="481"/>
      <c r="Y149" s="481"/>
      <c r="Z149" s="481"/>
      <c r="AA149" s="481"/>
      <c r="AB149" s="481"/>
      <c r="AC149" s="393" t="e">
        <f t="shared" si="54"/>
        <v>#DIV/0!</v>
      </c>
      <c r="AD149" s="393" t="e">
        <f t="shared" si="55"/>
        <v>#DIV/0!</v>
      </c>
      <c r="AE149" s="393" t="e">
        <f t="shared" si="56"/>
        <v>#DIV/0!</v>
      </c>
      <c r="AF149" s="393" t="e">
        <f t="shared" si="57"/>
        <v>#DIV/0!</v>
      </c>
      <c r="AG149" s="393" t="e">
        <f t="shared" si="58"/>
        <v>#DIV/0!</v>
      </c>
      <c r="AH149" s="393">
        <f t="shared" si="59"/>
        <v>-100</v>
      </c>
      <c r="AI149" s="393" t="e">
        <f t="shared" si="60"/>
        <v>#DIV/0!</v>
      </c>
      <c r="AJ149" s="393">
        <f t="shared" si="61"/>
        <v>1.819</v>
      </c>
      <c r="AK149" s="393">
        <f t="shared" si="62"/>
        <v>6.7960000000000003</v>
      </c>
      <c r="AL149" s="393">
        <f t="shared" si="63"/>
        <v>6.5090000000000003</v>
      </c>
      <c r="AM149" s="393">
        <f t="shared" si="64"/>
        <v>-100</v>
      </c>
      <c r="AN149" s="393" t="e">
        <f t="shared" si="65"/>
        <v>#DIV/0!</v>
      </c>
      <c r="AO149" s="393" t="e">
        <f t="shared" si="66"/>
        <v>#DIV/0!</v>
      </c>
      <c r="AP149" s="393" t="e">
        <f t="shared" si="67"/>
        <v>#DIV/0!</v>
      </c>
      <c r="AQ149" s="393" t="e">
        <f t="shared" si="68"/>
        <v>#DIV/0!</v>
      </c>
      <c r="AR149" s="393" t="e">
        <f t="shared" si="69"/>
        <v>#DIV/0!</v>
      </c>
      <c r="AS149" s="393" t="e">
        <f t="shared" si="70"/>
        <v>#DIV/0!</v>
      </c>
      <c r="AT149" s="393" t="e">
        <f t="shared" si="71"/>
        <v>#DIV/0!</v>
      </c>
      <c r="AU149" s="393" t="e">
        <f t="shared" si="72"/>
        <v>#DIV/0!</v>
      </c>
      <c r="AV149" s="393" t="e">
        <f t="shared" si="73"/>
        <v>#DIV/0!</v>
      </c>
      <c r="AW149" s="393" t="e">
        <f t="shared" si="74"/>
        <v>#DIV/0!</v>
      </c>
      <c r="AX149" s="393" t="e">
        <f t="shared" si="75"/>
        <v>#DIV/0!</v>
      </c>
      <c r="AY149" s="393" t="e">
        <f t="shared" si="76"/>
        <v>#DIV/0!</v>
      </c>
      <c r="AZ149" s="393" t="e">
        <f t="shared" si="77"/>
        <v>#DIV/0!</v>
      </c>
      <c r="BA149" s="393" t="e">
        <f t="shared" si="78"/>
        <v>#DIV/0!</v>
      </c>
      <c r="BB149" s="393" t="e">
        <f t="shared" si="79"/>
        <v>#DIV/0!</v>
      </c>
    </row>
    <row r="150" spans="1:54" x14ac:dyDescent="0.25">
      <c r="A150" s="361" t="s">
        <v>3597</v>
      </c>
      <c r="B150" s="480"/>
      <c r="C150" s="480"/>
      <c r="D150" s="480"/>
      <c r="E150" s="480"/>
      <c r="F150" s="480"/>
      <c r="G150" s="480"/>
      <c r="H150" s="480"/>
      <c r="I150" s="480"/>
      <c r="J150" s="480"/>
      <c r="K150" s="480"/>
      <c r="L150" s="480"/>
      <c r="M150" s="480"/>
      <c r="N150" s="480"/>
      <c r="O150" s="480"/>
      <c r="P150" s="480">
        <f>1301/1800</f>
        <v>0.7228</v>
      </c>
      <c r="Q150" s="480">
        <f>1322/1800</f>
        <v>0.73440000000000005</v>
      </c>
      <c r="R150" s="480"/>
      <c r="S150" s="480"/>
      <c r="T150" s="480"/>
      <c r="U150" s="480"/>
      <c r="V150" s="480"/>
      <c r="W150" s="480"/>
      <c r="X150" s="480"/>
      <c r="Y150" s="480"/>
      <c r="Z150" s="480"/>
      <c r="AA150" s="480"/>
      <c r="AB150" s="480"/>
      <c r="AC150" s="393" t="e">
        <f t="shared" si="54"/>
        <v>#DIV/0!</v>
      </c>
      <c r="AD150" s="393" t="e">
        <f t="shared" si="55"/>
        <v>#DIV/0!</v>
      </c>
      <c r="AE150" s="393" t="e">
        <f t="shared" si="56"/>
        <v>#DIV/0!</v>
      </c>
      <c r="AF150" s="393" t="e">
        <f t="shared" si="57"/>
        <v>#DIV/0!</v>
      </c>
      <c r="AG150" s="393" t="e">
        <f t="shared" si="58"/>
        <v>#DIV/0!</v>
      </c>
      <c r="AH150" s="393" t="e">
        <f t="shared" si="59"/>
        <v>#DIV/0!</v>
      </c>
      <c r="AI150" s="393" t="e">
        <f t="shared" si="60"/>
        <v>#DIV/0!</v>
      </c>
      <c r="AJ150" s="393" t="e">
        <f t="shared" si="61"/>
        <v>#DIV/0!</v>
      </c>
      <c r="AK150" s="393" t="e">
        <f t="shared" si="62"/>
        <v>#DIV/0!</v>
      </c>
      <c r="AL150" s="393" t="e">
        <f t="shared" si="63"/>
        <v>#DIV/0!</v>
      </c>
      <c r="AM150" s="393" t="e">
        <f t="shared" si="64"/>
        <v>#DIV/0!</v>
      </c>
      <c r="AN150" s="393" t="e">
        <f t="shared" si="65"/>
        <v>#DIV/0!</v>
      </c>
      <c r="AO150" s="393" t="e">
        <f t="shared" si="66"/>
        <v>#DIV/0!</v>
      </c>
      <c r="AP150" s="393" t="e">
        <f t="shared" si="67"/>
        <v>#DIV/0!</v>
      </c>
      <c r="AQ150" s="393">
        <f t="shared" si="68"/>
        <v>1.605</v>
      </c>
      <c r="AR150" s="393">
        <f t="shared" si="69"/>
        <v>-100</v>
      </c>
      <c r="AS150" s="393" t="e">
        <f t="shared" si="70"/>
        <v>#DIV/0!</v>
      </c>
      <c r="AT150" s="393" t="e">
        <f t="shared" si="71"/>
        <v>#DIV/0!</v>
      </c>
      <c r="AU150" s="393" t="e">
        <f t="shared" si="72"/>
        <v>#DIV/0!</v>
      </c>
      <c r="AV150" s="393" t="e">
        <f t="shared" si="73"/>
        <v>#DIV/0!</v>
      </c>
      <c r="AW150" s="393" t="e">
        <f t="shared" si="74"/>
        <v>#DIV/0!</v>
      </c>
      <c r="AX150" s="393" t="e">
        <f t="shared" si="75"/>
        <v>#DIV/0!</v>
      </c>
      <c r="AY150" s="393" t="e">
        <f t="shared" si="76"/>
        <v>#DIV/0!</v>
      </c>
      <c r="AZ150" s="393" t="e">
        <f t="shared" si="77"/>
        <v>#DIV/0!</v>
      </c>
      <c r="BA150" s="393" t="e">
        <f t="shared" si="78"/>
        <v>#DIV/0!</v>
      </c>
      <c r="BB150" s="393" t="e">
        <f t="shared" si="79"/>
        <v>#DIV/0!</v>
      </c>
    </row>
    <row r="151" spans="1:54" x14ac:dyDescent="0.25">
      <c r="A151" s="361" t="s">
        <v>1581</v>
      </c>
      <c r="B151" s="480"/>
      <c r="C151" s="480"/>
      <c r="D151" s="480"/>
      <c r="E151" s="480"/>
      <c r="F151" s="480"/>
      <c r="G151" s="480"/>
      <c r="H151" s="480"/>
      <c r="I151" s="480"/>
      <c r="J151" s="480"/>
      <c r="K151" s="480"/>
      <c r="L151" s="480"/>
      <c r="M151" s="480"/>
      <c r="N151" s="480"/>
      <c r="O151" s="480"/>
      <c r="P151" s="480"/>
      <c r="Q151" s="480">
        <f>882/1800</f>
        <v>0.49</v>
      </c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393" t="e">
        <f t="shared" si="54"/>
        <v>#DIV/0!</v>
      </c>
      <c r="AD151" s="393" t="e">
        <f t="shared" si="55"/>
        <v>#DIV/0!</v>
      </c>
      <c r="AE151" s="393" t="e">
        <f t="shared" si="56"/>
        <v>#DIV/0!</v>
      </c>
      <c r="AF151" s="393" t="e">
        <f t="shared" si="57"/>
        <v>#DIV/0!</v>
      </c>
      <c r="AG151" s="393" t="e">
        <f t="shared" si="58"/>
        <v>#DIV/0!</v>
      </c>
      <c r="AH151" s="393" t="e">
        <f t="shared" si="59"/>
        <v>#DIV/0!</v>
      </c>
      <c r="AI151" s="393" t="e">
        <f t="shared" si="60"/>
        <v>#DIV/0!</v>
      </c>
      <c r="AJ151" s="393" t="e">
        <f t="shared" si="61"/>
        <v>#DIV/0!</v>
      </c>
      <c r="AK151" s="393" t="e">
        <f t="shared" si="62"/>
        <v>#DIV/0!</v>
      </c>
      <c r="AL151" s="393" t="e">
        <f t="shared" si="63"/>
        <v>#DIV/0!</v>
      </c>
      <c r="AM151" s="393" t="e">
        <f t="shared" si="64"/>
        <v>#DIV/0!</v>
      </c>
      <c r="AN151" s="393" t="e">
        <f t="shared" si="65"/>
        <v>#DIV/0!</v>
      </c>
      <c r="AO151" s="393" t="e">
        <f t="shared" si="66"/>
        <v>#DIV/0!</v>
      </c>
      <c r="AP151" s="393" t="e">
        <f t="shared" si="67"/>
        <v>#DIV/0!</v>
      </c>
      <c r="AQ151" s="393" t="e">
        <f t="shared" si="68"/>
        <v>#DIV/0!</v>
      </c>
      <c r="AR151" s="393">
        <f t="shared" si="69"/>
        <v>-100</v>
      </c>
      <c r="AS151" s="393" t="e">
        <f t="shared" si="70"/>
        <v>#DIV/0!</v>
      </c>
      <c r="AT151" s="393" t="e">
        <f t="shared" si="71"/>
        <v>#DIV/0!</v>
      </c>
      <c r="AU151" s="393" t="e">
        <f t="shared" si="72"/>
        <v>#DIV/0!</v>
      </c>
      <c r="AV151" s="393" t="e">
        <f t="shared" si="73"/>
        <v>#DIV/0!</v>
      </c>
      <c r="AW151" s="393" t="e">
        <f t="shared" si="74"/>
        <v>#DIV/0!</v>
      </c>
      <c r="AX151" s="393" t="e">
        <f t="shared" si="75"/>
        <v>#DIV/0!</v>
      </c>
      <c r="AY151" s="393" t="e">
        <f t="shared" si="76"/>
        <v>#DIV/0!</v>
      </c>
      <c r="AZ151" s="393" t="e">
        <f t="shared" si="77"/>
        <v>#DIV/0!</v>
      </c>
      <c r="BA151" s="393" t="e">
        <f t="shared" si="78"/>
        <v>#DIV/0!</v>
      </c>
      <c r="BB151" s="393" t="e">
        <f t="shared" si="79"/>
        <v>#DIV/0!</v>
      </c>
    </row>
    <row r="152" spans="1:54" x14ac:dyDescent="0.25">
      <c r="A152" s="361" t="s">
        <v>1575</v>
      </c>
      <c r="B152" s="480"/>
      <c r="C152" s="480"/>
      <c r="D152" s="480"/>
      <c r="E152" s="480"/>
      <c r="F152" s="480"/>
      <c r="G152" s="480"/>
      <c r="H152" s="480"/>
      <c r="I152" s="480"/>
      <c r="J152" s="480"/>
      <c r="K152" s="480"/>
      <c r="L152" s="480"/>
      <c r="M152" s="480"/>
      <c r="N152" s="480"/>
      <c r="O152" s="480"/>
      <c r="P152" s="480"/>
      <c r="Q152" s="480">
        <f>930/1800</f>
        <v>0.51670000000000005</v>
      </c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0"/>
      <c r="AC152" s="393" t="e">
        <f t="shared" si="54"/>
        <v>#DIV/0!</v>
      </c>
      <c r="AD152" s="393" t="e">
        <f t="shared" si="55"/>
        <v>#DIV/0!</v>
      </c>
      <c r="AE152" s="393" t="e">
        <f t="shared" si="56"/>
        <v>#DIV/0!</v>
      </c>
      <c r="AF152" s="393" t="e">
        <f t="shared" si="57"/>
        <v>#DIV/0!</v>
      </c>
      <c r="AG152" s="393" t="e">
        <f t="shared" si="58"/>
        <v>#DIV/0!</v>
      </c>
      <c r="AH152" s="393" t="e">
        <f t="shared" si="59"/>
        <v>#DIV/0!</v>
      </c>
      <c r="AI152" s="393" t="e">
        <f t="shared" si="60"/>
        <v>#DIV/0!</v>
      </c>
      <c r="AJ152" s="393" t="e">
        <f t="shared" si="61"/>
        <v>#DIV/0!</v>
      </c>
      <c r="AK152" s="393" t="e">
        <f t="shared" si="62"/>
        <v>#DIV/0!</v>
      </c>
      <c r="AL152" s="393" t="e">
        <f t="shared" si="63"/>
        <v>#DIV/0!</v>
      </c>
      <c r="AM152" s="393" t="e">
        <f t="shared" si="64"/>
        <v>#DIV/0!</v>
      </c>
      <c r="AN152" s="393" t="e">
        <f t="shared" si="65"/>
        <v>#DIV/0!</v>
      </c>
      <c r="AO152" s="393" t="e">
        <f t="shared" si="66"/>
        <v>#DIV/0!</v>
      </c>
      <c r="AP152" s="393" t="e">
        <f t="shared" si="67"/>
        <v>#DIV/0!</v>
      </c>
      <c r="AQ152" s="393" t="e">
        <f t="shared" si="68"/>
        <v>#DIV/0!</v>
      </c>
      <c r="AR152" s="393">
        <f t="shared" si="69"/>
        <v>-100</v>
      </c>
      <c r="AS152" s="393" t="e">
        <f t="shared" si="70"/>
        <v>#DIV/0!</v>
      </c>
      <c r="AT152" s="393" t="e">
        <f t="shared" si="71"/>
        <v>#DIV/0!</v>
      </c>
      <c r="AU152" s="393" t="e">
        <f t="shared" si="72"/>
        <v>#DIV/0!</v>
      </c>
      <c r="AV152" s="393" t="e">
        <f t="shared" si="73"/>
        <v>#DIV/0!</v>
      </c>
      <c r="AW152" s="393" t="e">
        <f t="shared" si="74"/>
        <v>#DIV/0!</v>
      </c>
      <c r="AX152" s="393" t="e">
        <f t="shared" si="75"/>
        <v>#DIV/0!</v>
      </c>
      <c r="AY152" s="393" t="e">
        <f t="shared" si="76"/>
        <v>#DIV/0!</v>
      </c>
      <c r="AZ152" s="393" t="e">
        <f t="shared" si="77"/>
        <v>#DIV/0!</v>
      </c>
      <c r="BA152" s="393" t="e">
        <f t="shared" si="78"/>
        <v>#DIV/0!</v>
      </c>
      <c r="BB152" s="393" t="e">
        <f t="shared" si="79"/>
        <v>#DIV/0!</v>
      </c>
    </row>
    <row r="153" spans="1:54" x14ac:dyDescent="0.25">
      <c r="A153" s="361" t="s">
        <v>3112</v>
      </c>
      <c r="B153" s="480">
        <f>1001/1800</f>
        <v>0.55610000000000004</v>
      </c>
      <c r="C153" s="480">
        <f>986/1800</f>
        <v>0.54779999999999995</v>
      </c>
      <c r="D153" s="480">
        <f>951/1800</f>
        <v>0.52829999999999999</v>
      </c>
      <c r="E153" s="480">
        <f>1033/1800</f>
        <v>0.57389999999999997</v>
      </c>
      <c r="F153" s="480"/>
      <c r="G153" s="480"/>
      <c r="H153" s="480"/>
      <c r="I153" s="480"/>
      <c r="J153" s="480"/>
      <c r="K153" s="480"/>
      <c r="L153" s="480"/>
      <c r="M153" s="480"/>
      <c r="N153" s="480"/>
      <c r="O153" s="480"/>
      <c r="P153" s="480"/>
      <c r="Q153" s="480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393">
        <f t="shared" si="54"/>
        <v>-1.4930000000000001</v>
      </c>
      <c r="AD153" s="393">
        <f t="shared" si="55"/>
        <v>-3.56</v>
      </c>
      <c r="AE153" s="393">
        <f t="shared" si="56"/>
        <v>8.6310000000000002</v>
      </c>
      <c r="AF153" s="393">
        <f t="shared" si="57"/>
        <v>-100</v>
      </c>
      <c r="AG153" s="393" t="e">
        <f t="shared" si="58"/>
        <v>#DIV/0!</v>
      </c>
      <c r="AH153" s="393" t="e">
        <f t="shared" si="59"/>
        <v>#DIV/0!</v>
      </c>
      <c r="AI153" s="393" t="e">
        <f t="shared" si="60"/>
        <v>#DIV/0!</v>
      </c>
      <c r="AJ153" s="393" t="e">
        <f t="shared" si="61"/>
        <v>#DIV/0!</v>
      </c>
      <c r="AK153" s="393" t="e">
        <f t="shared" si="62"/>
        <v>#DIV/0!</v>
      </c>
      <c r="AL153" s="393" t="e">
        <f t="shared" si="63"/>
        <v>#DIV/0!</v>
      </c>
      <c r="AM153" s="393" t="e">
        <f t="shared" si="64"/>
        <v>#DIV/0!</v>
      </c>
      <c r="AN153" s="393" t="e">
        <f t="shared" si="65"/>
        <v>#DIV/0!</v>
      </c>
      <c r="AO153" s="393" t="e">
        <f t="shared" si="66"/>
        <v>#DIV/0!</v>
      </c>
      <c r="AP153" s="393" t="e">
        <f t="shared" si="67"/>
        <v>#DIV/0!</v>
      </c>
      <c r="AQ153" s="393" t="e">
        <f t="shared" si="68"/>
        <v>#DIV/0!</v>
      </c>
      <c r="AR153" s="393" t="e">
        <f t="shared" si="69"/>
        <v>#DIV/0!</v>
      </c>
      <c r="AS153" s="393" t="e">
        <f t="shared" si="70"/>
        <v>#DIV/0!</v>
      </c>
      <c r="AT153" s="393" t="e">
        <f t="shared" si="71"/>
        <v>#DIV/0!</v>
      </c>
      <c r="AU153" s="393" t="e">
        <f t="shared" si="72"/>
        <v>#DIV/0!</v>
      </c>
      <c r="AV153" s="393" t="e">
        <f t="shared" si="73"/>
        <v>#DIV/0!</v>
      </c>
      <c r="AW153" s="393" t="e">
        <f t="shared" si="74"/>
        <v>#DIV/0!</v>
      </c>
      <c r="AX153" s="393" t="e">
        <f t="shared" si="75"/>
        <v>#DIV/0!</v>
      </c>
      <c r="AY153" s="393" t="e">
        <f t="shared" si="76"/>
        <v>#DIV/0!</v>
      </c>
      <c r="AZ153" s="393" t="e">
        <f t="shared" si="77"/>
        <v>#DIV/0!</v>
      </c>
      <c r="BA153" s="393" t="e">
        <f t="shared" si="78"/>
        <v>#DIV/0!</v>
      </c>
      <c r="BB153" s="393" t="e">
        <f t="shared" si="79"/>
        <v>#DIV/0!</v>
      </c>
    </row>
    <row r="154" spans="1:54" x14ac:dyDescent="0.25">
      <c r="A154" s="355" t="s">
        <v>821</v>
      </c>
      <c r="B154" s="480"/>
      <c r="C154" s="480"/>
      <c r="D154" s="480"/>
      <c r="E154" s="480"/>
      <c r="F154" s="480"/>
      <c r="G154" s="480"/>
      <c r="H154" s="480"/>
      <c r="I154" s="480"/>
      <c r="J154" s="480"/>
      <c r="K154" s="480">
        <f>649/1200</f>
        <v>0.54079999999999995</v>
      </c>
      <c r="L154" s="480">
        <f>704/1200</f>
        <v>0.5867</v>
      </c>
      <c r="M154" s="480">
        <f>754/1200</f>
        <v>0.62829999999999997</v>
      </c>
      <c r="N154" s="480">
        <f>732/1200</f>
        <v>0.61</v>
      </c>
      <c r="O154" s="480">
        <f>728/1200</f>
        <v>0.60670000000000002</v>
      </c>
      <c r="P154" s="480">
        <f>1141/1800</f>
        <v>0.63390000000000002</v>
      </c>
      <c r="Q154" s="480"/>
      <c r="R154" s="480"/>
      <c r="S154" s="480"/>
      <c r="T154" s="480"/>
      <c r="U154" s="480">
        <f>1087/1800</f>
        <v>0.60389999999999999</v>
      </c>
      <c r="V154" s="480">
        <f>865/1200</f>
        <v>0.7208</v>
      </c>
      <c r="W154" s="480"/>
      <c r="X154" s="480"/>
      <c r="Y154" s="480"/>
      <c r="Z154" s="480"/>
      <c r="AA154" s="480"/>
      <c r="AB154" s="480"/>
      <c r="AC154" s="393" t="e">
        <f t="shared" si="54"/>
        <v>#DIV/0!</v>
      </c>
      <c r="AD154" s="393" t="e">
        <f t="shared" si="55"/>
        <v>#DIV/0!</v>
      </c>
      <c r="AE154" s="393" t="e">
        <f t="shared" si="56"/>
        <v>#DIV/0!</v>
      </c>
      <c r="AF154" s="393" t="e">
        <f t="shared" si="57"/>
        <v>#DIV/0!</v>
      </c>
      <c r="AG154" s="393" t="e">
        <f t="shared" si="58"/>
        <v>#DIV/0!</v>
      </c>
      <c r="AH154" s="393" t="e">
        <f t="shared" si="59"/>
        <v>#DIV/0!</v>
      </c>
      <c r="AI154" s="393" t="e">
        <f t="shared" si="60"/>
        <v>#DIV/0!</v>
      </c>
      <c r="AJ154" s="393" t="e">
        <f t="shared" si="61"/>
        <v>#DIV/0!</v>
      </c>
      <c r="AK154" s="393" t="e">
        <f t="shared" si="62"/>
        <v>#DIV/0!</v>
      </c>
      <c r="AL154" s="393">
        <f t="shared" si="63"/>
        <v>8.4870000000000001</v>
      </c>
      <c r="AM154" s="393">
        <f t="shared" si="64"/>
        <v>7.0910000000000002</v>
      </c>
      <c r="AN154" s="393">
        <f t="shared" si="65"/>
        <v>-2.9129999999999998</v>
      </c>
      <c r="AO154" s="393">
        <f t="shared" si="66"/>
        <v>-0.54100000000000004</v>
      </c>
      <c r="AP154" s="393">
        <f t="shared" si="67"/>
        <v>4.4829999999999997</v>
      </c>
      <c r="AQ154" s="393">
        <f t="shared" si="68"/>
        <v>-100</v>
      </c>
      <c r="AR154" s="393" t="e">
        <f t="shared" si="69"/>
        <v>#DIV/0!</v>
      </c>
      <c r="AS154" s="393" t="e">
        <f t="shared" si="70"/>
        <v>#DIV/0!</v>
      </c>
      <c r="AT154" s="393" t="e">
        <f t="shared" si="71"/>
        <v>#DIV/0!</v>
      </c>
      <c r="AU154" s="393" t="e">
        <f t="shared" si="72"/>
        <v>#DIV/0!</v>
      </c>
      <c r="AV154" s="393">
        <f t="shared" si="73"/>
        <v>19.358000000000001</v>
      </c>
      <c r="AW154" s="393">
        <f t="shared" si="74"/>
        <v>-100</v>
      </c>
      <c r="AX154" s="393" t="e">
        <f t="shared" si="75"/>
        <v>#DIV/0!</v>
      </c>
      <c r="AY154" s="393" t="e">
        <f t="shared" si="76"/>
        <v>#DIV/0!</v>
      </c>
      <c r="AZ154" s="393" t="e">
        <f t="shared" si="77"/>
        <v>#DIV/0!</v>
      </c>
      <c r="BA154" s="393" t="e">
        <f t="shared" si="78"/>
        <v>#DIV/0!</v>
      </c>
      <c r="BB154" s="393" t="e">
        <f t="shared" si="79"/>
        <v>#DIV/0!</v>
      </c>
    </row>
    <row r="155" spans="1:54" x14ac:dyDescent="0.25">
      <c r="A155" s="355" t="s">
        <v>3301</v>
      </c>
      <c r="B155" s="480"/>
      <c r="C155" s="480"/>
      <c r="D155" s="480"/>
      <c r="E155" s="480"/>
      <c r="F155" s="480"/>
      <c r="G155" s="480"/>
      <c r="H155" s="480"/>
      <c r="I155" s="480">
        <f>645/1200</f>
        <v>0.53749999999999998</v>
      </c>
      <c r="J155" s="480"/>
      <c r="K155" s="480">
        <f>677/1200</f>
        <v>0.56420000000000003</v>
      </c>
      <c r="L155" s="480"/>
      <c r="M155" s="480">
        <f>718/1200</f>
        <v>0.59830000000000005</v>
      </c>
      <c r="N155" s="480"/>
      <c r="O155" s="480"/>
      <c r="P155" s="480"/>
      <c r="Q155" s="480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393" t="e">
        <f t="shared" si="54"/>
        <v>#DIV/0!</v>
      </c>
      <c r="AD155" s="393" t="e">
        <f t="shared" si="55"/>
        <v>#DIV/0!</v>
      </c>
      <c r="AE155" s="393" t="e">
        <f t="shared" si="56"/>
        <v>#DIV/0!</v>
      </c>
      <c r="AF155" s="393" t="e">
        <f t="shared" si="57"/>
        <v>#DIV/0!</v>
      </c>
      <c r="AG155" s="393" t="e">
        <f t="shared" si="58"/>
        <v>#DIV/0!</v>
      </c>
      <c r="AH155" s="393" t="e">
        <f t="shared" si="59"/>
        <v>#DIV/0!</v>
      </c>
      <c r="AI155" s="393" t="e">
        <f t="shared" si="60"/>
        <v>#DIV/0!</v>
      </c>
      <c r="AJ155" s="393">
        <f t="shared" si="61"/>
        <v>-100</v>
      </c>
      <c r="AK155" s="393" t="e">
        <f t="shared" si="62"/>
        <v>#DIV/0!</v>
      </c>
      <c r="AL155" s="393">
        <f t="shared" si="63"/>
        <v>-100</v>
      </c>
      <c r="AM155" s="393" t="e">
        <f t="shared" si="64"/>
        <v>#DIV/0!</v>
      </c>
      <c r="AN155" s="393">
        <f t="shared" si="65"/>
        <v>-100</v>
      </c>
      <c r="AO155" s="393" t="e">
        <f t="shared" si="66"/>
        <v>#DIV/0!</v>
      </c>
      <c r="AP155" s="393" t="e">
        <f t="shared" si="67"/>
        <v>#DIV/0!</v>
      </c>
      <c r="AQ155" s="393" t="e">
        <f t="shared" si="68"/>
        <v>#DIV/0!</v>
      </c>
      <c r="AR155" s="393" t="e">
        <f t="shared" si="69"/>
        <v>#DIV/0!</v>
      </c>
      <c r="AS155" s="393" t="e">
        <f t="shared" si="70"/>
        <v>#DIV/0!</v>
      </c>
      <c r="AT155" s="393" t="e">
        <f t="shared" si="71"/>
        <v>#DIV/0!</v>
      </c>
      <c r="AU155" s="393" t="e">
        <f t="shared" si="72"/>
        <v>#DIV/0!</v>
      </c>
      <c r="AV155" s="393" t="e">
        <f t="shared" si="73"/>
        <v>#DIV/0!</v>
      </c>
      <c r="AW155" s="393" t="e">
        <f t="shared" si="74"/>
        <v>#DIV/0!</v>
      </c>
      <c r="AX155" s="393" t="e">
        <f t="shared" si="75"/>
        <v>#DIV/0!</v>
      </c>
      <c r="AY155" s="393" t="e">
        <f t="shared" si="76"/>
        <v>#DIV/0!</v>
      </c>
      <c r="AZ155" s="393" t="e">
        <f t="shared" si="77"/>
        <v>#DIV/0!</v>
      </c>
      <c r="BA155" s="393" t="e">
        <f t="shared" si="78"/>
        <v>#DIV/0!</v>
      </c>
      <c r="BB155" s="393" t="e">
        <f t="shared" si="79"/>
        <v>#DIV/0!</v>
      </c>
    </row>
    <row r="156" spans="1:54" x14ac:dyDescent="0.25">
      <c r="A156" s="565" t="s">
        <v>3108</v>
      </c>
      <c r="B156" s="480"/>
      <c r="C156" s="480">
        <f>654/1800</f>
        <v>0.36330000000000001</v>
      </c>
      <c r="D156" s="480"/>
      <c r="E156" s="480"/>
      <c r="F156" s="480"/>
      <c r="G156" s="480"/>
      <c r="H156" s="480"/>
      <c r="I156" s="480"/>
      <c r="J156" s="480"/>
      <c r="K156" s="480"/>
      <c r="L156" s="480"/>
      <c r="M156" s="480"/>
      <c r="N156" s="480"/>
      <c r="O156" s="480"/>
      <c r="P156" s="480"/>
      <c r="Q156" s="480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393" t="e">
        <f t="shared" si="54"/>
        <v>#DIV/0!</v>
      </c>
      <c r="AD156" s="393">
        <f t="shared" si="55"/>
        <v>-100</v>
      </c>
      <c r="AE156" s="393" t="e">
        <f t="shared" si="56"/>
        <v>#DIV/0!</v>
      </c>
      <c r="AF156" s="393" t="e">
        <f t="shared" si="57"/>
        <v>#DIV/0!</v>
      </c>
      <c r="AG156" s="393" t="e">
        <f t="shared" si="58"/>
        <v>#DIV/0!</v>
      </c>
      <c r="AH156" s="393" t="e">
        <f t="shared" si="59"/>
        <v>#DIV/0!</v>
      </c>
      <c r="AI156" s="393" t="e">
        <f t="shared" si="60"/>
        <v>#DIV/0!</v>
      </c>
      <c r="AJ156" s="393" t="e">
        <f t="shared" si="61"/>
        <v>#DIV/0!</v>
      </c>
      <c r="AK156" s="393" t="e">
        <f t="shared" si="62"/>
        <v>#DIV/0!</v>
      </c>
      <c r="AL156" s="393" t="e">
        <f t="shared" si="63"/>
        <v>#DIV/0!</v>
      </c>
      <c r="AM156" s="393" t="e">
        <f t="shared" si="64"/>
        <v>#DIV/0!</v>
      </c>
      <c r="AN156" s="393" t="e">
        <f t="shared" si="65"/>
        <v>#DIV/0!</v>
      </c>
      <c r="AO156" s="393" t="e">
        <f t="shared" si="66"/>
        <v>#DIV/0!</v>
      </c>
      <c r="AP156" s="393" t="e">
        <f t="shared" si="67"/>
        <v>#DIV/0!</v>
      </c>
      <c r="AQ156" s="393" t="e">
        <f t="shared" si="68"/>
        <v>#DIV/0!</v>
      </c>
      <c r="AR156" s="393" t="e">
        <f t="shared" si="69"/>
        <v>#DIV/0!</v>
      </c>
      <c r="AS156" s="393" t="e">
        <f t="shared" si="70"/>
        <v>#DIV/0!</v>
      </c>
      <c r="AT156" s="393" t="e">
        <f t="shared" si="71"/>
        <v>#DIV/0!</v>
      </c>
      <c r="AU156" s="393" t="e">
        <f t="shared" si="72"/>
        <v>#DIV/0!</v>
      </c>
      <c r="AV156" s="393" t="e">
        <f t="shared" si="73"/>
        <v>#DIV/0!</v>
      </c>
      <c r="AW156" s="393" t="e">
        <f t="shared" si="74"/>
        <v>#DIV/0!</v>
      </c>
      <c r="AX156" s="393" t="e">
        <f t="shared" si="75"/>
        <v>#DIV/0!</v>
      </c>
      <c r="AY156" s="393" t="e">
        <f t="shared" si="76"/>
        <v>#DIV/0!</v>
      </c>
      <c r="AZ156" s="393" t="e">
        <f t="shared" si="77"/>
        <v>#DIV/0!</v>
      </c>
      <c r="BA156" s="393" t="e">
        <f t="shared" si="78"/>
        <v>#DIV/0!</v>
      </c>
      <c r="BB156" s="393" t="e">
        <f t="shared" si="79"/>
        <v>#DIV/0!</v>
      </c>
    </row>
    <row r="157" spans="1:54" x14ac:dyDescent="0.25">
      <c r="A157" s="361" t="s">
        <v>1184</v>
      </c>
      <c r="B157" s="480"/>
      <c r="C157" s="480"/>
      <c r="D157" s="480"/>
      <c r="E157" s="480"/>
      <c r="F157" s="480"/>
      <c r="G157" s="480"/>
      <c r="H157" s="480"/>
      <c r="I157" s="480"/>
      <c r="J157" s="480"/>
      <c r="K157" s="480"/>
      <c r="L157" s="480"/>
      <c r="M157" s="480"/>
      <c r="N157" s="480"/>
      <c r="O157" s="480"/>
      <c r="P157" s="480"/>
      <c r="Q157" s="480"/>
      <c r="R157" s="480"/>
      <c r="S157" s="480"/>
      <c r="T157" s="480"/>
      <c r="U157" s="480"/>
      <c r="V157" s="481"/>
      <c r="W157" s="481">
        <f>948/1200</f>
        <v>0.79</v>
      </c>
      <c r="X157" s="481">
        <f>1440/1800</f>
        <v>0.8</v>
      </c>
      <c r="Y157" s="481"/>
      <c r="Z157" s="481"/>
      <c r="AA157" s="481"/>
      <c r="AB157" s="481"/>
      <c r="AC157" s="393" t="e">
        <f t="shared" si="54"/>
        <v>#DIV/0!</v>
      </c>
      <c r="AD157" s="393" t="e">
        <f t="shared" si="55"/>
        <v>#DIV/0!</v>
      </c>
      <c r="AE157" s="393" t="e">
        <f t="shared" si="56"/>
        <v>#DIV/0!</v>
      </c>
      <c r="AF157" s="393" t="e">
        <f t="shared" si="57"/>
        <v>#DIV/0!</v>
      </c>
      <c r="AG157" s="393" t="e">
        <f t="shared" si="58"/>
        <v>#DIV/0!</v>
      </c>
      <c r="AH157" s="393" t="e">
        <f t="shared" si="59"/>
        <v>#DIV/0!</v>
      </c>
      <c r="AI157" s="393" t="e">
        <f t="shared" si="60"/>
        <v>#DIV/0!</v>
      </c>
      <c r="AJ157" s="393" t="e">
        <f t="shared" si="61"/>
        <v>#DIV/0!</v>
      </c>
      <c r="AK157" s="393" t="e">
        <f t="shared" si="62"/>
        <v>#DIV/0!</v>
      </c>
      <c r="AL157" s="393" t="e">
        <f t="shared" si="63"/>
        <v>#DIV/0!</v>
      </c>
      <c r="AM157" s="393" t="e">
        <f t="shared" si="64"/>
        <v>#DIV/0!</v>
      </c>
      <c r="AN157" s="393" t="e">
        <f t="shared" si="65"/>
        <v>#DIV/0!</v>
      </c>
      <c r="AO157" s="393" t="e">
        <f t="shared" si="66"/>
        <v>#DIV/0!</v>
      </c>
      <c r="AP157" s="393" t="e">
        <f t="shared" si="67"/>
        <v>#DIV/0!</v>
      </c>
      <c r="AQ157" s="393" t="e">
        <f t="shared" si="68"/>
        <v>#DIV/0!</v>
      </c>
      <c r="AR157" s="393" t="e">
        <f t="shared" si="69"/>
        <v>#DIV/0!</v>
      </c>
      <c r="AS157" s="393" t="e">
        <f t="shared" si="70"/>
        <v>#DIV/0!</v>
      </c>
      <c r="AT157" s="393" t="e">
        <f t="shared" si="71"/>
        <v>#DIV/0!</v>
      </c>
      <c r="AU157" s="393" t="e">
        <f t="shared" si="72"/>
        <v>#DIV/0!</v>
      </c>
      <c r="AV157" s="393" t="e">
        <f t="shared" si="73"/>
        <v>#DIV/0!</v>
      </c>
      <c r="AW157" s="393" t="e">
        <f t="shared" si="74"/>
        <v>#DIV/0!</v>
      </c>
      <c r="AX157" s="393">
        <f t="shared" si="75"/>
        <v>1.266</v>
      </c>
      <c r="AY157" s="393">
        <f t="shared" si="76"/>
        <v>-100</v>
      </c>
      <c r="AZ157" s="393" t="e">
        <f t="shared" si="77"/>
        <v>#DIV/0!</v>
      </c>
      <c r="BA157" s="393" t="e">
        <f t="shared" si="78"/>
        <v>#DIV/0!</v>
      </c>
      <c r="BB157" s="393" t="e">
        <f t="shared" si="79"/>
        <v>#DIV/0!</v>
      </c>
    </row>
    <row r="158" spans="1:54" x14ac:dyDescent="0.25">
      <c r="A158" s="361" t="s">
        <v>4004</v>
      </c>
      <c r="B158" s="480"/>
      <c r="C158" s="480"/>
      <c r="D158" s="480"/>
      <c r="E158" s="480"/>
      <c r="F158" s="480"/>
      <c r="G158" s="480"/>
      <c r="H158" s="480"/>
      <c r="I158" s="480"/>
      <c r="J158" s="480"/>
      <c r="K158" s="480"/>
      <c r="L158" s="480"/>
      <c r="M158" s="480"/>
      <c r="N158" s="480"/>
      <c r="O158" s="480"/>
      <c r="P158" s="480"/>
      <c r="Q158" s="480"/>
      <c r="R158" s="480"/>
      <c r="S158" s="480"/>
      <c r="T158" s="480">
        <f>681/1200</f>
        <v>0.5675</v>
      </c>
      <c r="U158" s="480"/>
      <c r="V158" s="480"/>
      <c r="W158" s="480"/>
      <c r="X158" s="480"/>
      <c r="Y158" s="480"/>
      <c r="Z158" s="480"/>
      <c r="AA158" s="480"/>
      <c r="AB158" s="480"/>
      <c r="AC158" s="393" t="e">
        <f t="shared" si="54"/>
        <v>#DIV/0!</v>
      </c>
      <c r="AD158" s="393" t="e">
        <f t="shared" si="55"/>
        <v>#DIV/0!</v>
      </c>
      <c r="AE158" s="393" t="e">
        <f t="shared" si="56"/>
        <v>#DIV/0!</v>
      </c>
      <c r="AF158" s="393" t="e">
        <f t="shared" si="57"/>
        <v>#DIV/0!</v>
      </c>
      <c r="AG158" s="393" t="e">
        <f t="shared" si="58"/>
        <v>#DIV/0!</v>
      </c>
      <c r="AH158" s="393" t="e">
        <f t="shared" si="59"/>
        <v>#DIV/0!</v>
      </c>
      <c r="AI158" s="393" t="e">
        <f t="shared" si="60"/>
        <v>#DIV/0!</v>
      </c>
      <c r="AJ158" s="393" t="e">
        <f t="shared" si="61"/>
        <v>#DIV/0!</v>
      </c>
      <c r="AK158" s="393" t="e">
        <f t="shared" si="62"/>
        <v>#DIV/0!</v>
      </c>
      <c r="AL158" s="393" t="e">
        <f t="shared" si="63"/>
        <v>#DIV/0!</v>
      </c>
      <c r="AM158" s="393" t="e">
        <f t="shared" si="64"/>
        <v>#DIV/0!</v>
      </c>
      <c r="AN158" s="393" t="e">
        <f t="shared" si="65"/>
        <v>#DIV/0!</v>
      </c>
      <c r="AO158" s="393" t="e">
        <f t="shared" si="66"/>
        <v>#DIV/0!</v>
      </c>
      <c r="AP158" s="393" t="e">
        <f t="shared" si="67"/>
        <v>#DIV/0!</v>
      </c>
      <c r="AQ158" s="393" t="e">
        <f t="shared" si="68"/>
        <v>#DIV/0!</v>
      </c>
      <c r="AR158" s="393" t="e">
        <f t="shared" si="69"/>
        <v>#DIV/0!</v>
      </c>
      <c r="AS158" s="393" t="e">
        <f t="shared" si="70"/>
        <v>#DIV/0!</v>
      </c>
      <c r="AT158" s="393" t="e">
        <f t="shared" si="71"/>
        <v>#DIV/0!</v>
      </c>
      <c r="AU158" s="393">
        <f t="shared" si="72"/>
        <v>-100</v>
      </c>
      <c r="AV158" s="393" t="e">
        <f t="shared" si="73"/>
        <v>#DIV/0!</v>
      </c>
      <c r="AW158" s="393" t="e">
        <f t="shared" si="74"/>
        <v>#DIV/0!</v>
      </c>
      <c r="AX158" s="393" t="e">
        <f t="shared" si="75"/>
        <v>#DIV/0!</v>
      </c>
      <c r="AY158" s="393" t="e">
        <f t="shared" si="76"/>
        <v>#DIV/0!</v>
      </c>
      <c r="AZ158" s="393" t="e">
        <f t="shared" si="77"/>
        <v>#DIV/0!</v>
      </c>
      <c r="BA158" s="393" t="e">
        <f t="shared" si="78"/>
        <v>#DIV/0!</v>
      </c>
      <c r="BB158" s="393" t="e">
        <f t="shared" si="79"/>
        <v>#DIV/0!</v>
      </c>
    </row>
    <row r="159" spans="1:54" x14ac:dyDescent="0.25">
      <c r="A159" s="361" t="s">
        <v>4007</v>
      </c>
      <c r="B159" s="480"/>
      <c r="C159" s="480"/>
      <c r="D159" s="480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P159" s="480"/>
      <c r="Q159" s="480"/>
      <c r="R159" s="480"/>
      <c r="S159" s="480"/>
      <c r="T159" s="480">
        <f>843/1200</f>
        <v>0.70250000000000001</v>
      </c>
      <c r="U159" s="480"/>
      <c r="V159" s="480"/>
      <c r="W159" s="480"/>
      <c r="X159" s="480"/>
      <c r="Y159" s="480"/>
      <c r="Z159" s="480"/>
      <c r="AA159" s="480"/>
      <c r="AB159" s="480"/>
      <c r="AC159" s="393" t="e">
        <f t="shared" si="54"/>
        <v>#DIV/0!</v>
      </c>
      <c r="AD159" s="393" t="e">
        <f t="shared" si="55"/>
        <v>#DIV/0!</v>
      </c>
      <c r="AE159" s="393" t="e">
        <f t="shared" si="56"/>
        <v>#DIV/0!</v>
      </c>
      <c r="AF159" s="393" t="e">
        <f t="shared" si="57"/>
        <v>#DIV/0!</v>
      </c>
      <c r="AG159" s="393" t="e">
        <f t="shared" si="58"/>
        <v>#DIV/0!</v>
      </c>
      <c r="AH159" s="393" t="e">
        <f t="shared" si="59"/>
        <v>#DIV/0!</v>
      </c>
      <c r="AI159" s="393" t="e">
        <f t="shared" si="60"/>
        <v>#DIV/0!</v>
      </c>
      <c r="AJ159" s="393" t="e">
        <f t="shared" si="61"/>
        <v>#DIV/0!</v>
      </c>
      <c r="AK159" s="393" t="e">
        <f t="shared" si="62"/>
        <v>#DIV/0!</v>
      </c>
      <c r="AL159" s="393" t="e">
        <f t="shared" si="63"/>
        <v>#DIV/0!</v>
      </c>
      <c r="AM159" s="393" t="e">
        <f t="shared" si="64"/>
        <v>#DIV/0!</v>
      </c>
      <c r="AN159" s="393" t="e">
        <f t="shared" si="65"/>
        <v>#DIV/0!</v>
      </c>
      <c r="AO159" s="393" t="e">
        <f t="shared" si="66"/>
        <v>#DIV/0!</v>
      </c>
      <c r="AP159" s="393" t="e">
        <f t="shared" si="67"/>
        <v>#DIV/0!</v>
      </c>
      <c r="AQ159" s="393" t="e">
        <f t="shared" si="68"/>
        <v>#DIV/0!</v>
      </c>
      <c r="AR159" s="393" t="e">
        <f t="shared" si="69"/>
        <v>#DIV/0!</v>
      </c>
      <c r="AS159" s="393" t="e">
        <f t="shared" si="70"/>
        <v>#DIV/0!</v>
      </c>
      <c r="AT159" s="393" t="e">
        <f t="shared" si="71"/>
        <v>#DIV/0!</v>
      </c>
      <c r="AU159" s="393">
        <f t="shared" si="72"/>
        <v>-100</v>
      </c>
      <c r="AV159" s="393" t="e">
        <f t="shared" si="73"/>
        <v>#DIV/0!</v>
      </c>
      <c r="AW159" s="393" t="e">
        <f t="shared" si="74"/>
        <v>#DIV/0!</v>
      </c>
      <c r="AX159" s="393" t="e">
        <f t="shared" si="75"/>
        <v>#DIV/0!</v>
      </c>
      <c r="AY159" s="393" t="e">
        <f t="shared" si="76"/>
        <v>#DIV/0!</v>
      </c>
      <c r="AZ159" s="393" t="e">
        <f t="shared" si="77"/>
        <v>#DIV/0!</v>
      </c>
      <c r="BA159" s="393" t="e">
        <f t="shared" si="78"/>
        <v>#DIV/0!</v>
      </c>
      <c r="BB159" s="393" t="e">
        <f t="shared" si="79"/>
        <v>#DIV/0!</v>
      </c>
    </row>
    <row r="160" spans="1:54" x14ac:dyDescent="0.25">
      <c r="A160" s="360" t="s">
        <v>2137</v>
      </c>
      <c r="B160" s="480"/>
      <c r="C160" s="480"/>
      <c r="D160" s="480">
        <f>1161/1800</f>
        <v>0.64500000000000002</v>
      </c>
      <c r="E160" s="480">
        <f>1160/1800</f>
        <v>0.64439999999999997</v>
      </c>
      <c r="F160" s="480">
        <f>799/1800</f>
        <v>0.44390000000000002</v>
      </c>
      <c r="G160" s="480">
        <f>1492/2400</f>
        <v>0.62170000000000003</v>
      </c>
      <c r="H160" s="480"/>
      <c r="I160" s="480"/>
      <c r="J160" s="480"/>
      <c r="K160" s="480"/>
      <c r="L160" s="480"/>
      <c r="M160" s="480"/>
      <c r="N160" s="480"/>
      <c r="O160" s="480"/>
      <c r="P160" s="480"/>
      <c r="Q160" s="480"/>
      <c r="R160" s="480"/>
      <c r="S160" s="480"/>
      <c r="T160" s="480"/>
      <c r="U160" s="480"/>
      <c r="V160" s="480"/>
      <c r="W160" s="480"/>
      <c r="X160" s="480"/>
      <c r="Y160" s="480"/>
      <c r="Z160" s="480"/>
      <c r="AA160" s="480"/>
      <c r="AB160" s="480"/>
      <c r="AC160" s="393" t="e">
        <f t="shared" si="54"/>
        <v>#DIV/0!</v>
      </c>
      <c r="AD160" s="393" t="e">
        <f t="shared" si="55"/>
        <v>#DIV/0!</v>
      </c>
      <c r="AE160" s="393">
        <f t="shared" si="56"/>
        <v>-9.2999999999999999E-2</v>
      </c>
      <c r="AF160" s="393">
        <f t="shared" si="57"/>
        <v>-31.114000000000001</v>
      </c>
      <c r="AG160" s="393">
        <f t="shared" si="58"/>
        <v>40.054000000000002</v>
      </c>
      <c r="AH160" s="393">
        <f t="shared" si="59"/>
        <v>-100</v>
      </c>
      <c r="AI160" s="393" t="e">
        <f t="shared" si="60"/>
        <v>#DIV/0!</v>
      </c>
      <c r="AJ160" s="393" t="e">
        <f t="shared" si="61"/>
        <v>#DIV/0!</v>
      </c>
      <c r="AK160" s="393" t="e">
        <f t="shared" si="62"/>
        <v>#DIV/0!</v>
      </c>
      <c r="AL160" s="393" t="e">
        <f t="shared" si="63"/>
        <v>#DIV/0!</v>
      </c>
      <c r="AM160" s="393" t="e">
        <f t="shared" si="64"/>
        <v>#DIV/0!</v>
      </c>
      <c r="AN160" s="393" t="e">
        <f t="shared" si="65"/>
        <v>#DIV/0!</v>
      </c>
      <c r="AO160" s="393" t="e">
        <f t="shared" si="66"/>
        <v>#DIV/0!</v>
      </c>
      <c r="AP160" s="393" t="e">
        <f t="shared" si="67"/>
        <v>#DIV/0!</v>
      </c>
      <c r="AQ160" s="393" t="e">
        <f t="shared" si="68"/>
        <v>#DIV/0!</v>
      </c>
      <c r="AR160" s="393" t="e">
        <f t="shared" si="69"/>
        <v>#DIV/0!</v>
      </c>
      <c r="AS160" s="393" t="e">
        <f t="shared" si="70"/>
        <v>#DIV/0!</v>
      </c>
      <c r="AT160" s="393" t="e">
        <f t="shared" si="71"/>
        <v>#DIV/0!</v>
      </c>
      <c r="AU160" s="393" t="e">
        <f t="shared" si="72"/>
        <v>#DIV/0!</v>
      </c>
      <c r="AV160" s="393" t="e">
        <f t="shared" si="73"/>
        <v>#DIV/0!</v>
      </c>
      <c r="AW160" s="393" t="e">
        <f t="shared" si="74"/>
        <v>#DIV/0!</v>
      </c>
      <c r="AX160" s="393" t="e">
        <f t="shared" si="75"/>
        <v>#DIV/0!</v>
      </c>
      <c r="AY160" s="393" t="e">
        <f t="shared" si="76"/>
        <v>#DIV/0!</v>
      </c>
      <c r="AZ160" s="393" t="e">
        <f t="shared" si="77"/>
        <v>#DIV/0!</v>
      </c>
      <c r="BA160" s="393" t="e">
        <f t="shared" si="78"/>
        <v>#DIV/0!</v>
      </c>
      <c r="BB160" s="393" t="e">
        <f t="shared" si="79"/>
        <v>#DIV/0!</v>
      </c>
    </row>
    <row r="161" spans="1:54" x14ac:dyDescent="0.25">
      <c r="A161" s="361" t="s">
        <v>1602</v>
      </c>
      <c r="B161" s="480"/>
      <c r="C161" s="480"/>
      <c r="D161" s="480"/>
      <c r="E161" s="480"/>
      <c r="F161" s="480"/>
      <c r="G161" s="480"/>
      <c r="H161" s="480"/>
      <c r="I161" s="480"/>
      <c r="J161" s="480"/>
      <c r="K161" s="480"/>
      <c r="L161" s="480"/>
      <c r="M161" s="480"/>
      <c r="N161" s="480"/>
      <c r="O161" s="480"/>
      <c r="P161" s="480"/>
      <c r="Q161" s="480"/>
      <c r="R161" s="480"/>
      <c r="S161" s="480">
        <f>1157/1800</f>
        <v>0.64280000000000004</v>
      </c>
      <c r="T161" s="480">
        <f>796/1200</f>
        <v>0.6633</v>
      </c>
      <c r="U161" s="480"/>
      <c r="V161" s="480"/>
      <c r="W161" s="480"/>
      <c r="X161" s="480"/>
      <c r="Y161" s="480"/>
      <c r="Z161" s="480"/>
      <c r="AA161" s="480"/>
      <c r="AB161" s="480"/>
      <c r="AC161" s="393" t="e">
        <f t="shared" si="54"/>
        <v>#DIV/0!</v>
      </c>
      <c r="AD161" s="393" t="e">
        <f t="shared" si="55"/>
        <v>#DIV/0!</v>
      </c>
      <c r="AE161" s="393" t="e">
        <f t="shared" si="56"/>
        <v>#DIV/0!</v>
      </c>
      <c r="AF161" s="393" t="e">
        <f t="shared" si="57"/>
        <v>#DIV/0!</v>
      </c>
      <c r="AG161" s="393" t="e">
        <f t="shared" si="58"/>
        <v>#DIV/0!</v>
      </c>
      <c r="AH161" s="393" t="e">
        <f t="shared" si="59"/>
        <v>#DIV/0!</v>
      </c>
      <c r="AI161" s="393" t="e">
        <f t="shared" si="60"/>
        <v>#DIV/0!</v>
      </c>
      <c r="AJ161" s="393" t="e">
        <f t="shared" si="61"/>
        <v>#DIV/0!</v>
      </c>
      <c r="AK161" s="393" t="e">
        <f t="shared" si="62"/>
        <v>#DIV/0!</v>
      </c>
      <c r="AL161" s="393" t="e">
        <f t="shared" si="63"/>
        <v>#DIV/0!</v>
      </c>
      <c r="AM161" s="393" t="e">
        <f t="shared" si="64"/>
        <v>#DIV/0!</v>
      </c>
      <c r="AN161" s="393" t="e">
        <f t="shared" si="65"/>
        <v>#DIV/0!</v>
      </c>
      <c r="AO161" s="393" t="e">
        <f t="shared" si="66"/>
        <v>#DIV/0!</v>
      </c>
      <c r="AP161" s="393" t="e">
        <f t="shared" si="67"/>
        <v>#DIV/0!</v>
      </c>
      <c r="AQ161" s="393" t="e">
        <f t="shared" si="68"/>
        <v>#DIV/0!</v>
      </c>
      <c r="AR161" s="393" t="e">
        <f t="shared" si="69"/>
        <v>#DIV/0!</v>
      </c>
      <c r="AS161" s="393" t="e">
        <f t="shared" si="70"/>
        <v>#DIV/0!</v>
      </c>
      <c r="AT161" s="393">
        <f t="shared" si="71"/>
        <v>3.1890000000000001</v>
      </c>
      <c r="AU161" s="393">
        <f t="shared" si="72"/>
        <v>-100</v>
      </c>
      <c r="AV161" s="393" t="e">
        <f t="shared" si="73"/>
        <v>#DIV/0!</v>
      </c>
      <c r="AW161" s="393" t="e">
        <f t="shared" si="74"/>
        <v>#DIV/0!</v>
      </c>
      <c r="AX161" s="393" t="e">
        <f t="shared" si="75"/>
        <v>#DIV/0!</v>
      </c>
      <c r="AY161" s="393" t="e">
        <f t="shared" si="76"/>
        <v>#DIV/0!</v>
      </c>
      <c r="AZ161" s="393" t="e">
        <f t="shared" si="77"/>
        <v>#DIV/0!</v>
      </c>
      <c r="BA161" s="393" t="e">
        <f t="shared" si="78"/>
        <v>#DIV/0!</v>
      </c>
      <c r="BB161" s="393" t="e">
        <f t="shared" si="79"/>
        <v>#DIV/0!</v>
      </c>
    </row>
    <row r="162" spans="1:54" x14ac:dyDescent="0.25">
      <c r="A162" s="361" t="s">
        <v>1199</v>
      </c>
      <c r="B162" s="480"/>
      <c r="C162" s="480"/>
      <c r="D162" s="480"/>
      <c r="E162" s="480"/>
      <c r="F162" s="480"/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80"/>
      <c r="R162" s="480"/>
      <c r="S162" s="480"/>
      <c r="T162" s="480">
        <f>727/1200</f>
        <v>0.60580000000000001</v>
      </c>
      <c r="U162" s="480"/>
      <c r="V162" s="480"/>
      <c r="W162" s="480"/>
      <c r="X162" s="480"/>
      <c r="Y162" s="480"/>
      <c r="Z162" s="480"/>
      <c r="AA162" s="480"/>
      <c r="AB162" s="480"/>
      <c r="AC162" s="393" t="e">
        <f t="shared" si="54"/>
        <v>#DIV/0!</v>
      </c>
      <c r="AD162" s="393" t="e">
        <f t="shared" si="55"/>
        <v>#DIV/0!</v>
      </c>
      <c r="AE162" s="393" t="e">
        <f t="shared" si="56"/>
        <v>#DIV/0!</v>
      </c>
      <c r="AF162" s="393" t="e">
        <f t="shared" si="57"/>
        <v>#DIV/0!</v>
      </c>
      <c r="AG162" s="393" t="e">
        <f t="shared" si="58"/>
        <v>#DIV/0!</v>
      </c>
      <c r="AH162" s="393" t="e">
        <f t="shared" si="59"/>
        <v>#DIV/0!</v>
      </c>
      <c r="AI162" s="393" t="e">
        <f t="shared" si="60"/>
        <v>#DIV/0!</v>
      </c>
      <c r="AJ162" s="393" t="e">
        <f t="shared" si="61"/>
        <v>#DIV/0!</v>
      </c>
      <c r="AK162" s="393" t="e">
        <f t="shared" si="62"/>
        <v>#DIV/0!</v>
      </c>
      <c r="AL162" s="393" t="e">
        <f t="shared" si="63"/>
        <v>#DIV/0!</v>
      </c>
      <c r="AM162" s="393" t="e">
        <f t="shared" si="64"/>
        <v>#DIV/0!</v>
      </c>
      <c r="AN162" s="393" t="e">
        <f t="shared" si="65"/>
        <v>#DIV/0!</v>
      </c>
      <c r="AO162" s="393" t="e">
        <f t="shared" si="66"/>
        <v>#DIV/0!</v>
      </c>
      <c r="AP162" s="393" t="e">
        <f t="shared" si="67"/>
        <v>#DIV/0!</v>
      </c>
      <c r="AQ162" s="393" t="e">
        <f t="shared" si="68"/>
        <v>#DIV/0!</v>
      </c>
      <c r="AR162" s="393" t="e">
        <f t="shared" si="69"/>
        <v>#DIV/0!</v>
      </c>
      <c r="AS162" s="393" t="e">
        <f t="shared" si="70"/>
        <v>#DIV/0!</v>
      </c>
      <c r="AT162" s="393" t="e">
        <f t="shared" si="71"/>
        <v>#DIV/0!</v>
      </c>
      <c r="AU162" s="393">
        <f t="shared" si="72"/>
        <v>-100</v>
      </c>
      <c r="AV162" s="393" t="e">
        <f t="shared" si="73"/>
        <v>#DIV/0!</v>
      </c>
      <c r="AW162" s="393" t="e">
        <f t="shared" si="74"/>
        <v>#DIV/0!</v>
      </c>
      <c r="AX162" s="393" t="e">
        <f t="shared" si="75"/>
        <v>#DIV/0!</v>
      </c>
      <c r="AY162" s="393" t="e">
        <f t="shared" si="76"/>
        <v>#DIV/0!</v>
      </c>
      <c r="AZ162" s="393" t="e">
        <f t="shared" si="77"/>
        <v>#DIV/0!</v>
      </c>
      <c r="BA162" s="393" t="e">
        <f t="shared" si="78"/>
        <v>#DIV/0!</v>
      </c>
      <c r="BB162" s="393" t="e">
        <f t="shared" si="79"/>
        <v>#DIV/0!</v>
      </c>
    </row>
    <row r="163" spans="1:54" x14ac:dyDescent="0.25">
      <c r="A163" s="361" t="s">
        <v>622</v>
      </c>
      <c r="B163" s="480"/>
      <c r="C163" s="480"/>
      <c r="D163" s="480"/>
      <c r="E163" s="480"/>
      <c r="F163" s="480"/>
      <c r="G163" s="480"/>
      <c r="H163" s="480"/>
      <c r="I163" s="480"/>
      <c r="J163" s="480"/>
      <c r="K163" s="480">
        <f>683/1200</f>
        <v>0.56920000000000004</v>
      </c>
      <c r="L163" s="480">
        <f>697/1200</f>
        <v>0.58079999999999998</v>
      </c>
      <c r="M163" s="480"/>
      <c r="N163" s="480"/>
      <c r="O163" s="480"/>
      <c r="P163" s="480"/>
      <c r="Q163" s="480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0"/>
      <c r="AC163" s="393" t="e">
        <f t="shared" si="54"/>
        <v>#DIV/0!</v>
      </c>
      <c r="AD163" s="393" t="e">
        <f t="shared" si="55"/>
        <v>#DIV/0!</v>
      </c>
      <c r="AE163" s="393" t="e">
        <f t="shared" si="56"/>
        <v>#DIV/0!</v>
      </c>
      <c r="AF163" s="393" t="e">
        <f t="shared" si="57"/>
        <v>#DIV/0!</v>
      </c>
      <c r="AG163" s="393" t="e">
        <f t="shared" si="58"/>
        <v>#DIV/0!</v>
      </c>
      <c r="AH163" s="393" t="e">
        <f t="shared" si="59"/>
        <v>#DIV/0!</v>
      </c>
      <c r="AI163" s="393" t="e">
        <f t="shared" si="60"/>
        <v>#DIV/0!</v>
      </c>
      <c r="AJ163" s="393" t="e">
        <f t="shared" si="61"/>
        <v>#DIV/0!</v>
      </c>
      <c r="AK163" s="393" t="e">
        <f t="shared" si="62"/>
        <v>#DIV/0!</v>
      </c>
      <c r="AL163" s="393">
        <f t="shared" si="63"/>
        <v>2.0379999999999998</v>
      </c>
      <c r="AM163" s="393">
        <f t="shared" si="64"/>
        <v>-100</v>
      </c>
      <c r="AN163" s="393" t="e">
        <f t="shared" si="65"/>
        <v>#DIV/0!</v>
      </c>
      <c r="AO163" s="393" t="e">
        <f t="shared" si="66"/>
        <v>#DIV/0!</v>
      </c>
      <c r="AP163" s="393" t="e">
        <f t="shared" si="67"/>
        <v>#DIV/0!</v>
      </c>
      <c r="AQ163" s="393" t="e">
        <f t="shared" si="68"/>
        <v>#DIV/0!</v>
      </c>
      <c r="AR163" s="393" t="e">
        <f t="shared" si="69"/>
        <v>#DIV/0!</v>
      </c>
      <c r="AS163" s="393" t="e">
        <f t="shared" si="70"/>
        <v>#DIV/0!</v>
      </c>
      <c r="AT163" s="393" t="e">
        <f t="shared" si="71"/>
        <v>#DIV/0!</v>
      </c>
      <c r="AU163" s="393" t="e">
        <f t="shared" si="72"/>
        <v>#DIV/0!</v>
      </c>
      <c r="AV163" s="393" t="e">
        <f t="shared" si="73"/>
        <v>#DIV/0!</v>
      </c>
      <c r="AW163" s="393" t="e">
        <f t="shared" si="74"/>
        <v>#DIV/0!</v>
      </c>
      <c r="AX163" s="393" t="e">
        <f t="shared" si="75"/>
        <v>#DIV/0!</v>
      </c>
      <c r="AY163" s="393" t="e">
        <f t="shared" si="76"/>
        <v>#DIV/0!</v>
      </c>
      <c r="AZ163" s="393" t="e">
        <f t="shared" si="77"/>
        <v>#DIV/0!</v>
      </c>
      <c r="BA163" s="393" t="e">
        <f t="shared" si="78"/>
        <v>#DIV/0!</v>
      </c>
      <c r="BB163" s="393" t="e">
        <f t="shared" si="79"/>
        <v>#DIV/0!</v>
      </c>
    </row>
    <row r="164" spans="1:54" x14ac:dyDescent="0.25">
      <c r="A164" s="361" t="s">
        <v>532</v>
      </c>
      <c r="B164" s="480"/>
      <c r="C164" s="480"/>
      <c r="D164" s="480"/>
      <c r="E164" s="480"/>
      <c r="F164" s="480"/>
      <c r="G164" s="480"/>
      <c r="H164" s="480"/>
      <c r="I164" s="480"/>
      <c r="J164" s="480"/>
      <c r="K164" s="480"/>
      <c r="L164" s="480"/>
      <c r="M164" s="480"/>
      <c r="N164" s="480"/>
      <c r="O164" s="480"/>
      <c r="P164" s="480"/>
      <c r="Q164" s="480"/>
      <c r="R164" s="480"/>
      <c r="S164" s="480"/>
      <c r="T164" s="480">
        <f>744/1200</f>
        <v>0.62</v>
      </c>
      <c r="U164" s="480">
        <f>1170/1800</f>
        <v>0.65</v>
      </c>
      <c r="V164" s="480"/>
      <c r="W164" s="480"/>
      <c r="X164" s="480"/>
      <c r="Y164" s="480"/>
      <c r="Z164" s="480"/>
      <c r="AA164" s="480"/>
      <c r="AB164" s="480"/>
      <c r="AC164" s="393" t="e">
        <f t="shared" si="54"/>
        <v>#DIV/0!</v>
      </c>
      <c r="AD164" s="393" t="e">
        <f t="shared" si="55"/>
        <v>#DIV/0!</v>
      </c>
      <c r="AE164" s="393" t="e">
        <f t="shared" si="56"/>
        <v>#DIV/0!</v>
      </c>
      <c r="AF164" s="393" t="e">
        <f t="shared" si="57"/>
        <v>#DIV/0!</v>
      </c>
      <c r="AG164" s="393" t="e">
        <f t="shared" si="58"/>
        <v>#DIV/0!</v>
      </c>
      <c r="AH164" s="393" t="e">
        <f t="shared" si="59"/>
        <v>#DIV/0!</v>
      </c>
      <c r="AI164" s="393" t="e">
        <f t="shared" si="60"/>
        <v>#DIV/0!</v>
      </c>
      <c r="AJ164" s="393" t="e">
        <f t="shared" si="61"/>
        <v>#DIV/0!</v>
      </c>
      <c r="AK164" s="393" t="e">
        <f t="shared" si="62"/>
        <v>#DIV/0!</v>
      </c>
      <c r="AL164" s="393" t="e">
        <f t="shared" si="63"/>
        <v>#DIV/0!</v>
      </c>
      <c r="AM164" s="393" t="e">
        <f t="shared" si="64"/>
        <v>#DIV/0!</v>
      </c>
      <c r="AN164" s="393" t="e">
        <f t="shared" si="65"/>
        <v>#DIV/0!</v>
      </c>
      <c r="AO164" s="393" t="e">
        <f t="shared" si="66"/>
        <v>#DIV/0!</v>
      </c>
      <c r="AP164" s="393" t="e">
        <f t="shared" si="67"/>
        <v>#DIV/0!</v>
      </c>
      <c r="AQ164" s="393" t="e">
        <f t="shared" si="68"/>
        <v>#DIV/0!</v>
      </c>
      <c r="AR164" s="393" t="e">
        <f t="shared" si="69"/>
        <v>#DIV/0!</v>
      </c>
      <c r="AS164" s="393" t="e">
        <f t="shared" si="70"/>
        <v>#DIV/0!</v>
      </c>
      <c r="AT164" s="393" t="e">
        <f t="shared" si="71"/>
        <v>#DIV/0!</v>
      </c>
      <c r="AU164" s="393">
        <f t="shared" si="72"/>
        <v>4.8390000000000004</v>
      </c>
      <c r="AV164" s="393">
        <f t="shared" si="73"/>
        <v>-100</v>
      </c>
      <c r="AW164" s="393" t="e">
        <f t="shared" si="74"/>
        <v>#DIV/0!</v>
      </c>
      <c r="AX164" s="393" t="e">
        <f t="shared" si="75"/>
        <v>#DIV/0!</v>
      </c>
      <c r="AY164" s="393" t="e">
        <f t="shared" si="76"/>
        <v>#DIV/0!</v>
      </c>
      <c r="AZ164" s="393" t="e">
        <f t="shared" si="77"/>
        <v>#DIV/0!</v>
      </c>
      <c r="BA164" s="393" t="e">
        <f t="shared" si="78"/>
        <v>#DIV/0!</v>
      </c>
      <c r="BB164" s="393" t="e">
        <f t="shared" si="79"/>
        <v>#DIV/0!</v>
      </c>
    </row>
    <row r="165" spans="1:54" x14ac:dyDescent="0.25">
      <c r="A165" s="361" t="s">
        <v>976</v>
      </c>
      <c r="B165" s="480"/>
      <c r="C165" s="480"/>
      <c r="D165" s="480"/>
      <c r="E165" s="480"/>
      <c r="F165" s="480"/>
      <c r="G165" s="480"/>
      <c r="H165" s="480"/>
      <c r="I165" s="480"/>
      <c r="J165" s="480"/>
      <c r="K165" s="480"/>
      <c r="L165" s="480"/>
      <c r="M165" s="480"/>
      <c r="N165" s="480"/>
      <c r="O165" s="480"/>
      <c r="P165" s="480"/>
      <c r="Q165" s="480"/>
      <c r="R165" s="480"/>
      <c r="S165" s="480"/>
      <c r="T165" s="480"/>
      <c r="U165" s="480"/>
      <c r="V165" s="480"/>
      <c r="W165" s="480">
        <f>748/1200</f>
        <v>0.62329999999999997</v>
      </c>
      <c r="X165" s="480"/>
      <c r="Y165" s="480"/>
      <c r="Z165" s="480"/>
      <c r="AA165" s="480"/>
      <c r="AB165" s="480"/>
      <c r="AC165" s="393" t="e">
        <f t="shared" si="54"/>
        <v>#DIV/0!</v>
      </c>
      <c r="AD165" s="393" t="e">
        <f t="shared" si="55"/>
        <v>#DIV/0!</v>
      </c>
      <c r="AE165" s="393" t="e">
        <f t="shared" si="56"/>
        <v>#DIV/0!</v>
      </c>
      <c r="AF165" s="393" t="e">
        <f t="shared" si="57"/>
        <v>#DIV/0!</v>
      </c>
      <c r="AG165" s="393" t="e">
        <f t="shared" si="58"/>
        <v>#DIV/0!</v>
      </c>
      <c r="AH165" s="393" t="e">
        <f t="shared" si="59"/>
        <v>#DIV/0!</v>
      </c>
      <c r="AI165" s="393" t="e">
        <f t="shared" si="60"/>
        <v>#DIV/0!</v>
      </c>
      <c r="AJ165" s="393" t="e">
        <f t="shared" si="61"/>
        <v>#DIV/0!</v>
      </c>
      <c r="AK165" s="393" t="e">
        <f t="shared" si="62"/>
        <v>#DIV/0!</v>
      </c>
      <c r="AL165" s="393" t="e">
        <f t="shared" si="63"/>
        <v>#DIV/0!</v>
      </c>
      <c r="AM165" s="393" t="e">
        <f t="shared" si="64"/>
        <v>#DIV/0!</v>
      </c>
      <c r="AN165" s="393" t="e">
        <f t="shared" si="65"/>
        <v>#DIV/0!</v>
      </c>
      <c r="AO165" s="393" t="e">
        <f t="shared" si="66"/>
        <v>#DIV/0!</v>
      </c>
      <c r="AP165" s="393" t="e">
        <f t="shared" si="67"/>
        <v>#DIV/0!</v>
      </c>
      <c r="AQ165" s="393" t="e">
        <f t="shared" si="68"/>
        <v>#DIV/0!</v>
      </c>
      <c r="AR165" s="393" t="e">
        <f t="shared" si="69"/>
        <v>#DIV/0!</v>
      </c>
      <c r="AS165" s="393" t="e">
        <f t="shared" si="70"/>
        <v>#DIV/0!</v>
      </c>
      <c r="AT165" s="393" t="e">
        <f t="shared" si="71"/>
        <v>#DIV/0!</v>
      </c>
      <c r="AU165" s="393" t="e">
        <f t="shared" si="72"/>
        <v>#DIV/0!</v>
      </c>
      <c r="AV165" s="393" t="e">
        <f t="shared" si="73"/>
        <v>#DIV/0!</v>
      </c>
      <c r="AW165" s="393" t="e">
        <f t="shared" si="74"/>
        <v>#DIV/0!</v>
      </c>
      <c r="AX165" s="393">
        <f t="shared" si="75"/>
        <v>-100</v>
      </c>
      <c r="AY165" s="393" t="e">
        <f t="shared" si="76"/>
        <v>#DIV/0!</v>
      </c>
      <c r="AZ165" s="393" t="e">
        <f t="shared" si="77"/>
        <v>#DIV/0!</v>
      </c>
      <c r="BA165" s="393" t="e">
        <f t="shared" si="78"/>
        <v>#DIV/0!</v>
      </c>
      <c r="BB165" s="393" t="e">
        <f t="shared" si="79"/>
        <v>#DIV/0!</v>
      </c>
    </row>
    <row r="166" spans="1:54" x14ac:dyDescent="0.25">
      <c r="A166" s="361" t="s">
        <v>613</v>
      </c>
      <c r="B166" s="480"/>
      <c r="C166" s="480"/>
      <c r="D166" s="480"/>
      <c r="E166" s="480"/>
      <c r="F166" s="480"/>
      <c r="G166" s="480"/>
      <c r="H166" s="480"/>
      <c r="I166" s="480"/>
      <c r="J166" s="480"/>
      <c r="K166" s="480">
        <f>767/1200</f>
        <v>0.63919999999999999</v>
      </c>
      <c r="L166" s="480">
        <f>767/1200</f>
        <v>0.63919999999999999</v>
      </c>
      <c r="M166" s="480"/>
      <c r="N166" s="480"/>
      <c r="O166" s="480"/>
      <c r="P166" s="480"/>
      <c r="Q166" s="480"/>
      <c r="R166" s="480"/>
      <c r="S166" s="480"/>
      <c r="T166" s="480"/>
      <c r="U166" s="480"/>
      <c r="V166" s="480"/>
      <c r="W166" s="480"/>
      <c r="X166" s="480"/>
      <c r="Y166" s="480"/>
      <c r="Z166" s="480"/>
      <c r="AA166" s="480"/>
      <c r="AB166" s="480"/>
      <c r="AC166" s="393" t="e">
        <f t="shared" si="54"/>
        <v>#DIV/0!</v>
      </c>
      <c r="AD166" s="393" t="e">
        <f t="shared" si="55"/>
        <v>#DIV/0!</v>
      </c>
      <c r="AE166" s="393" t="e">
        <f t="shared" si="56"/>
        <v>#DIV/0!</v>
      </c>
      <c r="AF166" s="393" t="e">
        <f t="shared" si="57"/>
        <v>#DIV/0!</v>
      </c>
      <c r="AG166" s="393" t="e">
        <f t="shared" si="58"/>
        <v>#DIV/0!</v>
      </c>
      <c r="AH166" s="393" t="e">
        <f t="shared" si="59"/>
        <v>#DIV/0!</v>
      </c>
      <c r="AI166" s="393" t="e">
        <f t="shared" si="60"/>
        <v>#DIV/0!</v>
      </c>
      <c r="AJ166" s="393" t="e">
        <f t="shared" si="61"/>
        <v>#DIV/0!</v>
      </c>
      <c r="AK166" s="393" t="e">
        <f t="shared" si="62"/>
        <v>#DIV/0!</v>
      </c>
      <c r="AL166" s="393">
        <f t="shared" si="63"/>
        <v>0</v>
      </c>
      <c r="AM166" s="393">
        <f t="shared" si="64"/>
        <v>-100</v>
      </c>
      <c r="AN166" s="393" t="e">
        <f t="shared" si="65"/>
        <v>#DIV/0!</v>
      </c>
      <c r="AO166" s="393" t="e">
        <f t="shared" si="66"/>
        <v>#DIV/0!</v>
      </c>
      <c r="AP166" s="393" t="e">
        <f t="shared" si="67"/>
        <v>#DIV/0!</v>
      </c>
      <c r="AQ166" s="393" t="e">
        <f t="shared" si="68"/>
        <v>#DIV/0!</v>
      </c>
      <c r="AR166" s="393" t="e">
        <f t="shared" si="69"/>
        <v>#DIV/0!</v>
      </c>
      <c r="AS166" s="393" t="e">
        <f t="shared" si="70"/>
        <v>#DIV/0!</v>
      </c>
      <c r="AT166" s="393" t="e">
        <f t="shared" si="71"/>
        <v>#DIV/0!</v>
      </c>
      <c r="AU166" s="393" t="e">
        <f t="shared" si="72"/>
        <v>#DIV/0!</v>
      </c>
      <c r="AV166" s="393" t="e">
        <f t="shared" si="73"/>
        <v>#DIV/0!</v>
      </c>
      <c r="AW166" s="393" t="e">
        <f t="shared" si="74"/>
        <v>#DIV/0!</v>
      </c>
      <c r="AX166" s="393" t="e">
        <f t="shared" si="75"/>
        <v>#DIV/0!</v>
      </c>
      <c r="AY166" s="393" t="e">
        <f t="shared" si="76"/>
        <v>#DIV/0!</v>
      </c>
      <c r="AZ166" s="393" t="e">
        <f t="shared" si="77"/>
        <v>#DIV/0!</v>
      </c>
      <c r="BA166" s="393" t="e">
        <f t="shared" si="78"/>
        <v>#DIV/0!</v>
      </c>
      <c r="BB166" s="393" t="e">
        <f t="shared" si="79"/>
        <v>#DIV/0!</v>
      </c>
    </row>
    <row r="167" spans="1:54" x14ac:dyDescent="0.25">
      <c r="A167" s="360" t="s">
        <v>1316</v>
      </c>
      <c r="B167" s="480"/>
      <c r="C167" s="480"/>
      <c r="D167" s="480">
        <f>830/1800</f>
        <v>0.46110000000000001</v>
      </c>
      <c r="E167" s="480">
        <f>700/1800</f>
        <v>0.38890000000000002</v>
      </c>
      <c r="F167" s="480"/>
      <c r="G167" s="480"/>
      <c r="H167" s="480"/>
      <c r="I167" s="480"/>
      <c r="J167" s="480"/>
      <c r="K167" s="480"/>
      <c r="L167" s="480"/>
      <c r="M167" s="480"/>
      <c r="N167" s="480"/>
      <c r="O167" s="480"/>
      <c r="P167" s="480"/>
      <c r="Q167" s="480"/>
      <c r="R167" s="480"/>
      <c r="S167" s="480"/>
      <c r="T167" s="480"/>
      <c r="U167" s="480"/>
      <c r="V167" s="480"/>
      <c r="W167" s="480"/>
      <c r="X167" s="480"/>
      <c r="Y167" s="480"/>
      <c r="Z167" s="480"/>
      <c r="AA167" s="480"/>
      <c r="AB167" s="480"/>
      <c r="AC167" s="393" t="e">
        <f t="shared" si="54"/>
        <v>#DIV/0!</v>
      </c>
      <c r="AD167" s="393" t="e">
        <f t="shared" si="55"/>
        <v>#DIV/0!</v>
      </c>
      <c r="AE167" s="393">
        <f t="shared" si="56"/>
        <v>-15.657999999999999</v>
      </c>
      <c r="AF167" s="393">
        <f t="shared" si="57"/>
        <v>-100</v>
      </c>
      <c r="AG167" s="393" t="e">
        <f t="shared" si="58"/>
        <v>#DIV/0!</v>
      </c>
      <c r="AH167" s="393" t="e">
        <f t="shared" si="59"/>
        <v>#DIV/0!</v>
      </c>
      <c r="AI167" s="393" t="e">
        <f t="shared" si="60"/>
        <v>#DIV/0!</v>
      </c>
      <c r="AJ167" s="393" t="e">
        <f t="shared" si="61"/>
        <v>#DIV/0!</v>
      </c>
      <c r="AK167" s="393" t="e">
        <f t="shared" si="62"/>
        <v>#DIV/0!</v>
      </c>
      <c r="AL167" s="393" t="e">
        <f t="shared" si="63"/>
        <v>#DIV/0!</v>
      </c>
      <c r="AM167" s="393" t="e">
        <f t="shared" si="64"/>
        <v>#DIV/0!</v>
      </c>
      <c r="AN167" s="393" t="e">
        <f t="shared" si="65"/>
        <v>#DIV/0!</v>
      </c>
      <c r="AO167" s="393" t="e">
        <f t="shared" si="66"/>
        <v>#DIV/0!</v>
      </c>
      <c r="AP167" s="393" t="e">
        <f t="shared" si="67"/>
        <v>#DIV/0!</v>
      </c>
      <c r="AQ167" s="393" t="e">
        <f t="shared" si="68"/>
        <v>#DIV/0!</v>
      </c>
      <c r="AR167" s="393" t="e">
        <f t="shared" si="69"/>
        <v>#DIV/0!</v>
      </c>
      <c r="AS167" s="393" t="e">
        <f t="shared" si="70"/>
        <v>#DIV/0!</v>
      </c>
      <c r="AT167" s="393" t="e">
        <f t="shared" si="71"/>
        <v>#DIV/0!</v>
      </c>
      <c r="AU167" s="393" t="e">
        <f t="shared" si="72"/>
        <v>#DIV/0!</v>
      </c>
      <c r="AV167" s="393" t="e">
        <f t="shared" si="73"/>
        <v>#DIV/0!</v>
      </c>
      <c r="AW167" s="393" t="e">
        <f t="shared" si="74"/>
        <v>#DIV/0!</v>
      </c>
      <c r="AX167" s="393" t="e">
        <f t="shared" si="75"/>
        <v>#DIV/0!</v>
      </c>
      <c r="AY167" s="393" t="e">
        <f t="shared" si="76"/>
        <v>#DIV/0!</v>
      </c>
      <c r="AZ167" s="393" t="e">
        <f t="shared" si="77"/>
        <v>#DIV/0!</v>
      </c>
      <c r="BA167" s="393" t="e">
        <f t="shared" si="78"/>
        <v>#DIV/0!</v>
      </c>
      <c r="BB167" s="393" t="e">
        <f t="shared" si="79"/>
        <v>#DIV/0!</v>
      </c>
    </row>
    <row r="168" spans="1:54" x14ac:dyDescent="0.25">
      <c r="A168" s="361" t="s">
        <v>1592</v>
      </c>
      <c r="B168" s="480"/>
      <c r="C168" s="480"/>
      <c r="D168" s="480"/>
      <c r="E168" s="480"/>
      <c r="F168" s="480"/>
      <c r="G168" s="480"/>
      <c r="H168" s="480"/>
      <c r="I168" s="480"/>
      <c r="J168" s="480"/>
      <c r="K168" s="480"/>
      <c r="L168" s="480"/>
      <c r="M168" s="480"/>
      <c r="N168" s="480"/>
      <c r="O168" s="480"/>
      <c r="P168" s="480"/>
      <c r="Q168" s="480"/>
      <c r="R168" s="480">
        <f>1025/1800</f>
        <v>0.56940000000000002</v>
      </c>
      <c r="S168" s="480">
        <f>1124/1800</f>
        <v>0.62439999999999996</v>
      </c>
      <c r="T168" s="480">
        <f>754/1200</f>
        <v>0.62829999999999997</v>
      </c>
      <c r="U168" s="480">
        <f>1138/1800</f>
        <v>0.63219999999999998</v>
      </c>
      <c r="V168" s="480"/>
      <c r="W168" s="480"/>
      <c r="X168" s="480"/>
      <c r="Y168" s="480"/>
      <c r="Z168" s="480"/>
      <c r="AA168" s="480"/>
      <c r="AB168" s="480"/>
      <c r="AC168" s="393" t="e">
        <f t="shared" si="54"/>
        <v>#DIV/0!</v>
      </c>
      <c r="AD168" s="393" t="e">
        <f t="shared" si="55"/>
        <v>#DIV/0!</v>
      </c>
      <c r="AE168" s="393" t="e">
        <f t="shared" si="56"/>
        <v>#DIV/0!</v>
      </c>
      <c r="AF168" s="393" t="e">
        <f t="shared" si="57"/>
        <v>#DIV/0!</v>
      </c>
      <c r="AG168" s="393" t="e">
        <f t="shared" si="58"/>
        <v>#DIV/0!</v>
      </c>
      <c r="AH168" s="393" t="e">
        <f t="shared" si="59"/>
        <v>#DIV/0!</v>
      </c>
      <c r="AI168" s="393" t="e">
        <f t="shared" si="60"/>
        <v>#DIV/0!</v>
      </c>
      <c r="AJ168" s="393" t="e">
        <f t="shared" si="61"/>
        <v>#DIV/0!</v>
      </c>
      <c r="AK168" s="393" t="e">
        <f t="shared" si="62"/>
        <v>#DIV/0!</v>
      </c>
      <c r="AL168" s="393" t="e">
        <f t="shared" si="63"/>
        <v>#DIV/0!</v>
      </c>
      <c r="AM168" s="393" t="e">
        <f t="shared" si="64"/>
        <v>#DIV/0!</v>
      </c>
      <c r="AN168" s="393" t="e">
        <f t="shared" si="65"/>
        <v>#DIV/0!</v>
      </c>
      <c r="AO168" s="393" t="e">
        <f t="shared" si="66"/>
        <v>#DIV/0!</v>
      </c>
      <c r="AP168" s="393" t="e">
        <f t="shared" si="67"/>
        <v>#DIV/0!</v>
      </c>
      <c r="AQ168" s="393" t="e">
        <f t="shared" si="68"/>
        <v>#DIV/0!</v>
      </c>
      <c r="AR168" s="393" t="e">
        <f t="shared" si="69"/>
        <v>#DIV/0!</v>
      </c>
      <c r="AS168" s="393">
        <f t="shared" si="70"/>
        <v>9.6590000000000007</v>
      </c>
      <c r="AT168" s="393">
        <f t="shared" si="71"/>
        <v>0.625</v>
      </c>
      <c r="AU168" s="393">
        <f t="shared" si="72"/>
        <v>0.621</v>
      </c>
      <c r="AV168" s="393">
        <f t="shared" si="73"/>
        <v>-100</v>
      </c>
      <c r="AW168" s="393" t="e">
        <f t="shared" si="74"/>
        <v>#DIV/0!</v>
      </c>
      <c r="AX168" s="393" t="e">
        <f t="shared" si="75"/>
        <v>#DIV/0!</v>
      </c>
      <c r="AY168" s="393" t="e">
        <f t="shared" si="76"/>
        <v>#DIV/0!</v>
      </c>
      <c r="AZ168" s="393" t="e">
        <f t="shared" si="77"/>
        <v>#DIV/0!</v>
      </c>
      <c r="BA168" s="393" t="e">
        <f t="shared" si="78"/>
        <v>#DIV/0!</v>
      </c>
      <c r="BB168" s="393" t="e">
        <f t="shared" si="79"/>
        <v>#DIV/0!</v>
      </c>
    </row>
    <row r="169" spans="1:54" x14ac:dyDescent="0.25">
      <c r="A169" s="361" t="s">
        <v>3308</v>
      </c>
      <c r="B169" s="480"/>
      <c r="C169" s="480"/>
      <c r="D169" s="480"/>
      <c r="E169" s="480"/>
      <c r="F169" s="480"/>
      <c r="G169" s="480"/>
      <c r="H169" s="480"/>
      <c r="I169" s="480"/>
      <c r="J169" s="480">
        <f>668/1200</f>
        <v>0.55669999999999997</v>
      </c>
      <c r="K169" s="480">
        <f>668/1200</f>
        <v>0.55669999999999997</v>
      </c>
      <c r="L169" s="480">
        <f>726/1200</f>
        <v>0.60499999999999998</v>
      </c>
      <c r="M169" s="480">
        <f>726/1200</f>
        <v>0.60499999999999998</v>
      </c>
      <c r="N169" s="480">
        <f>665/1200</f>
        <v>0.55420000000000003</v>
      </c>
      <c r="O169" s="480">
        <f>723/1200</f>
        <v>0.60250000000000004</v>
      </c>
      <c r="P169" s="480"/>
      <c r="Q169" s="480"/>
      <c r="R169" s="480"/>
      <c r="S169" s="480"/>
      <c r="T169" s="480"/>
      <c r="U169" s="480"/>
      <c r="V169" s="480"/>
      <c r="W169" s="480"/>
      <c r="X169" s="480"/>
      <c r="Y169" s="480"/>
      <c r="Z169" s="480"/>
      <c r="AA169" s="480"/>
      <c r="AB169" s="480"/>
      <c r="AC169" s="393" t="e">
        <f t="shared" si="54"/>
        <v>#DIV/0!</v>
      </c>
      <c r="AD169" s="393" t="e">
        <f t="shared" si="55"/>
        <v>#DIV/0!</v>
      </c>
      <c r="AE169" s="393" t="e">
        <f t="shared" si="56"/>
        <v>#DIV/0!</v>
      </c>
      <c r="AF169" s="393" t="e">
        <f t="shared" si="57"/>
        <v>#DIV/0!</v>
      </c>
      <c r="AG169" s="393" t="e">
        <f t="shared" si="58"/>
        <v>#DIV/0!</v>
      </c>
      <c r="AH169" s="393" t="e">
        <f t="shared" si="59"/>
        <v>#DIV/0!</v>
      </c>
      <c r="AI169" s="393" t="e">
        <f t="shared" si="60"/>
        <v>#DIV/0!</v>
      </c>
      <c r="AJ169" s="393" t="e">
        <f t="shared" si="61"/>
        <v>#DIV/0!</v>
      </c>
      <c r="AK169" s="393">
        <f t="shared" si="62"/>
        <v>0</v>
      </c>
      <c r="AL169" s="393">
        <f t="shared" si="63"/>
        <v>8.6760000000000002</v>
      </c>
      <c r="AM169" s="393">
        <f t="shared" si="64"/>
        <v>0</v>
      </c>
      <c r="AN169" s="393">
        <f t="shared" si="65"/>
        <v>-8.3970000000000002</v>
      </c>
      <c r="AO169" s="393">
        <f t="shared" si="66"/>
        <v>8.7149999999999999</v>
      </c>
      <c r="AP169" s="393">
        <f t="shared" si="67"/>
        <v>-100</v>
      </c>
      <c r="AQ169" s="393" t="e">
        <f t="shared" si="68"/>
        <v>#DIV/0!</v>
      </c>
      <c r="AR169" s="393" t="e">
        <f t="shared" si="69"/>
        <v>#DIV/0!</v>
      </c>
      <c r="AS169" s="393" t="e">
        <f t="shared" si="70"/>
        <v>#DIV/0!</v>
      </c>
      <c r="AT169" s="393" t="e">
        <f t="shared" si="71"/>
        <v>#DIV/0!</v>
      </c>
      <c r="AU169" s="393" t="e">
        <f t="shared" si="72"/>
        <v>#DIV/0!</v>
      </c>
      <c r="AV169" s="393" t="e">
        <f t="shared" si="73"/>
        <v>#DIV/0!</v>
      </c>
      <c r="AW169" s="393" t="e">
        <f t="shared" si="74"/>
        <v>#DIV/0!</v>
      </c>
      <c r="AX169" s="393" t="e">
        <f t="shared" si="75"/>
        <v>#DIV/0!</v>
      </c>
      <c r="AY169" s="393" t="e">
        <f t="shared" si="76"/>
        <v>#DIV/0!</v>
      </c>
      <c r="AZ169" s="393" t="e">
        <f t="shared" si="77"/>
        <v>#DIV/0!</v>
      </c>
      <c r="BA169" s="393" t="e">
        <f t="shared" si="78"/>
        <v>#DIV/0!</v>
      </c>
      <c r="BB169" s="393" t="e">
        <f t="shared" si="79"/>
        <v>#DIV/0!</v>
      </c>
    </row>
    <row r="170" spans="1:54" x14ac:dyDescent="0.25">
      <c r="A170" s="361" t="s">
        <v>413</v>
      </c>
      <c r="B170" s="480"/>
      <c r="C170" s="480"/>
      <c r="D170" s="480"/>
      <c r="E170" s="480"/>
      <c r="F170" s="480"/>
      <c r="G170" s="480"/>
      <c r="H170" s="480"/>
      <c r="I170" s="480"/>
      <c r="J170" s="480"/>
      <c r="K170" s="480"/>
      <c r="L170" s="480"/>
      <c r="M170" s="480"/>
      <c r="N170" s="480">
        <f>637/1200</f>
        <v>0.53080000000000005</v>
      </c>
      <c r="O170" s="480">
        <f>732/1200</f>
        <v>0.61</v>
      </c>
      <c r="P170" s="480">
        <f>1088/1800</f>
        <v>0.60440000000000005</v>
      </c>
      <c r="Q170" s="480">
        <f>1083/1800</f>
        <v>0.60170000000000001</v>
      </c>
      <c r="R170" s="480"/>
      <c r="S170" s="480"/>
      <c r="T170" s="480"/>
      <c r="U170" s="480"/>
      <c r="V170" s="480"/>
      <c r="W170" s="480"/>
      <c r="X170" s="480"/>
      <c r="Y170" s="480"/>
      <c r="Z170" s="480"/>
      <c r="AA170" s="480"/>
      <c r="AB170" s="480"/>
      <c r="AC170" s="393" t="e">
        <f t="shared" si="54"/>
        <v>#DIV/0!</v>
      </c>
      <c r="AD170" s="393" t="e">
        <f t="shared" si="55"/>
        <v>#DIV/0!</v>
      </c>
      <c r="AE170" s="393" t="e">
        <f t="shared" si="56"/>
        <v>#DIV/0!</v>
      </c>
      <c r="AF170" s="393" t="e">
        <f t="shared" si="57"/>
        <v>#DIV/0!</v>
      </c>
      <c r="AG170" s="393" t="e">
        <f t="shared" si="58"/>
        <v>#DIV/0!</v>
      </c>
      <c r="AH170" s="393" t="e">
        <f t="shared" si="59"/>
        <v>#DIV/0!</v>
      </c>
      <c r="AI170" s="393" t="e">
        <f t="shared" si="60"/>
        <v>#DIV/0!</v>
      </c>
      <c r="AJ170" s="393" t="e">
        <f t="shared" si="61"/>
        <v>#DIV/0!</v>
      </c>
      <c r="AK170" s="393" t="e">
        <f t="shared" si="62"/>
        <v>#DIV/0!</v>
      </c>
      <c r="AL170" s="393" t="e">
        <f t="shared" si="63"/>
        <v>#DIV/0!</v>
      </c>
      <c r="AM170" s="393" t="e">
        <f t="shared" si="64"/>
        <v>#DIV/0!</v>
      </c>
      <c r="AN170" s="393" t="e">
        <f t="shared" si="65"/>
        <v>#DIV/0!</v>
      </c>
      <c r="AO170" s="393">
        <f t="shared" si="66"/>
        <v>14.920999999999999</v>
      </c>
      <c r="AP170" s="393">
        <f t="shared" si="67"/>
        <v>-0.91800000000000004</v>
      </c>
      <c r="AQ170" s="393">
        <f t="shared" si="68"/>
        <v>-0.44700000000000001</v>
      </c>
      <c r="AR170" s="393">
        <f t="shared" si="69"/>
        <v>-100</v>
      </c>
      <c r="AS170" s="393" t="e">
        <f t="shared" si="70"/>
        <v>#DIV/0!</v>
      </c>
      <c r="AT170" s="393" t="e">
        <f t="shared" si="71"/>
        <v>#DIV/0!</v>
      </c>
      <c r="AU170" s="393" t="e">
        <f t="shared" si="72"/>
        <v>#DIV/0!</v>
      </c>
      <c r="AV170" s="393" t="e">
        <f t="shared" si="73"/>
        <v>#DIV/0!</v>
      </c>
      <c r="AW170" s="393" t="e">
        <f t="shared" si="74"/>
        <v>#DIV/0!</v>
      </c>
      <c r="AX170" s="393" t="e">
        <f t="shared" si="75"/>
        <v>#DIV/0!</v>
      </c>
      <c r="AY170" s="393" t="e">
        <f t="shared" si="76"/>
        <v>#DIV/0!</v>
      </c>
      <c r="AZ170" s="393" t="e">
        <f t="shared" si="77"/>
        <v>#DIV/0!</v>
      </c>
      <c r="BA170" s="393" t="e">
        <f t="shared" si="78"/>
        <v>#DIV/0!</v>
      </c>
      <c r="BB170" s="393" t="e">
        <f t="shared" si="79"/>
        <v>#DIV/0!</v>
      </c>
    </row>
    <row r="171" spans="1:54" x14ac:dyDescent="0.25">
      <c r="A171" s="361" t="s">
        <v>1601</v>
      </c>
      <c r="B171" s="480"/>
      <c r="C171" s="480"/>
      <c r="D171" s="480"/>
      <c r="E171" s="480"/>
      <c r="F171" s="480"/>
      <c r="G171" s="480"/>
      <c r="H171" s="480"/>
      <c r="I171" s="480"/>
      <c r="J171" s="480"/>
      <c r="K171" s="480"/>
      <c r="L171" s="480"/>
      <c r="M171" s="480"/>
      <c r="N171" s="480"/>
      <c r="O171" s="480"/>
      <c r="P171" s="480"/>
      <c r="Q171" s="480"/>
      <c r="R171" s="480">
        <f>881/1800</f>
        <v>0.4894</v>
      </c>
      <c r="S171" s="480"/>
      <c r="T171" s="480"/>
      <c r="U171" s="480"/>
      <c r="V171" s="480"/>
      <c r="W171" s="480"/>
      <c r="X171" s="480"/>
      <c r="Y171" s="480"/>
      <c r="Z171" s="480"/>
      <c r="AA171" s="480"/>
      <c r="AB171" s="480"/>
      <c r="AC171" s="393" t="e">
        <f t="shared" si="54"/>
        <v>#DIV/0!</v>
      </c>
      <c r="AD171" s="393" t="e">
        <f t="shared" si="55"/>
        <v>#DIV/0!</v>
      </c>
      <c r="AE171" s="393" t="e">
        <f t="shared" si="56"/>
        <v>#DIV/0!</v>
      </c>
      <c r="AF171" s="393" t="e">
        <f t="shared" si="57"/>
        <v>#DIV/0!</v>
      </c>
      <c r="AG171" s="393" t="e">
        <f t="shared" si="58"/>
        <v>#DIV/0!</v>
      </c>
      <c r="AH171" s="393" t="e">
        <f t="shared" si="59"/>
        <v>#DIV/0!</v>
      </c>
      <c r="AI171" s="393" t="e">
        <f t="shared" si="60"/>
        <v>#DIV/0!</v>
      </c>
      <c r="AJ171" s="393" t="e">
        <f t="shared" si="61"/>
        <v>#DIV/0!</v>
      </c>
      <c r="AK171" s="393" t="e">
        <f t="shared" si="62"/>
        <v>#DIV/0!</v>
      </c>
      <c r="AL171" s="393" t="e">
        <f t="shared" si="63"/>
        <v>#DIV/0!</v>
      </c>
      <c r="AM171" s="393" t="e">
        <f t="shared" si="64"/>
        <v>#DIV/0!</v>
      </c>
      <c r="AN171" s="393" t="e">
        <f t="shared" si="65"/>
        <v>#DIV/0!</v>
      </c>
      <c r="AO171" s="393" t="e">
        <f t="shared" si="66"/>
        <v>#DIV/0!</v>
      </c>
      <c r="AP171" s="393" t="e">
        <f t="shared" si="67"/>
        <v>#DIV/0!</v>
      </c>
      <c r="AQ171" s="393" t="e">
        <f t="shared" si="68"/>
        <v>#DIV/0!</v>
      </c>
      <c r="AR171" s="393" t="e">
        <f t="shared" si="69"/>
        <v>#DIV/0!</v>
      </c>
      <c r="AS171" s="393">
        <f t="shared" si="70"/>
        <v>-100</v>
      </c>
      <c r="AT171" s="393" t="e">
        <f t="shared" si="71"/>
        <v>#DIV/0!</v>
      </c>
      <c r="AU171" s="393" t="e">
        <f t="shared" si="72"/>
        <v>#DIV/0!</v>
      </c>
      <c r="AV171" s="393" t="e">
        <f t="shared" si="73"/>
        <v>#DIV/0!</v>
      </c>
      <c r="AW171" s="393" t="e">
        <f t="shared" si="74"/>
        <v>#DIV/0!</v>
      </c>
      <c r="AX171" s="393" t="e">
        <f t="shared" si="75"/>
        <v>#DIV/0!</v>
      </c>
      <c r="AY171" s="393" t="e">
        <f t="shared" si="76"/>
        <v>#DIV/0!</v>
      </c>
      <c r="AZ171" s="393" t="e">
        <f t="shared" si="77"/>
        <v>#DIV/0!</v>
      </c>
      <c r="BA171" s="393" t="e">
        <f t="shared" si="78"/>
        <v>#DIV/0!</v>
      </c>
      <c r="BB171" s="393" t="e">
        <f t="shared" si="79"/>
        <v>#DIV/0!</v>
      </c>
    </row>
    <row r="172" spans="1:54" x14ac:dyDescent="0.25">
      <c r="A172" s="361" t="s">
        <v>806</v>
      </c>
      <c r="B172" s="480">
        <f>1028/1800</f>
        <v>0.57110000000000005</v>
      </c>
      <c r="C172" s="480"/>
      <c r="D172" s="480"/>
      <c r="E172" s="480"/>
      <c r="F172" s="480"/>
      <c r="G172" s="480"/>
      <c r="H172" s="480"/>
      <c r="I172" s="480"/>
      <c r="J172" s="480"/>
      <c r="K172" s="480"/>
      <c r="L172" s="480"/>
      <c r="M172" s="480"/>
      <c r="N172" s="480"/>
      <c r="O172" s="480"/>
      <c r="P172" s="480"/>
      <c r="Q172" s="480"/>
      <c r="R172" s="480"/>
      <c r="S172" s="480"/>
      <c r="T172" s="480"/>
      <c r="U172" s="480"/>
      <c r="V172" s="480"/>
      <c r="W172" s="480"/>
      <c r="X172" s="480"/>
      <c r="Y172" s="480"/>
      <c r="Z172" s="480"/>
      <c r="AA172" s="480"/>
      <c r="AB172" s="480"/>
      <c r="AC172" s="393">
        <f t="shared" si="54"/>
        <v>-100</v>
      </c>
      <c r="AD172" s="393" t="e">
        <f t="shared" si="55"/>
        <v>#DIV/0!</v>
      </c>
      <c r="AE172" s="393" t="e">
        <f t="shared" si="56"/>
        <v>#DIV/0!</v>
      </c>
      <c r="AF172" s="393" t="e">
        <f t="shared" si="57"/>
        <v>#DIV/0!</v>
      </c>
      <c r="AG172" s="393" t="e">
        <f t="shared" si="58"/>
        <v>#DIV/0!</v>
      </c>
      <c r="AH172" s="393" t="e">
        <f t="shared" si="59"/>
        <v>#DIV/0!</v>
      </c>
      <c r="AI172" s="393" t="e">
        <f t="shared" si="60"/>
        <v>#DIV/0!</v>
      </c>
      <c r="AJ172" s="393" t="e">
        <f t="shared" si="61"/>
        <v>#DIV/0!</v>
      </c>
      <c r="AK172" s="393" t="e">
        <f t="shared" si="62"/>
        <v>#DIV/0!</v>
      </c>
      <c r="AL172" s="393" t="e">
        <f t="shared" si="63"/>
        <v>#DIV/0!</v>
      </c>
      <c r="AM172" s="393" t="e">
        <f t="shared" si="64"/>
        <v>#DIV/0!</v>
      </c>
      <c r="AN172" s="393" t="e">
        <f t="shared" si="65"/>
        <v>#DIV/0!</v>
      </c>
      <c r="AO172" s="393" t="e">
        <f t="shared" si="66"/>
        <v>#DIV/0!</v>
      </c>
      <c r="AP172" s="393" t="e">
        <f t="shared" si="67"/>
        <v>#DIV/0!</v>
      </c>
      <c r="AQ172" s="393" t="e">
        <f t="shared" si="68"/>
        <v>#DIV/0!</v>
      </c>
      <c r="AR172" s="393" t="e">
        <f t="shared" si="69"/>
        <v>#DIV/0!</v>
      </c>
      <c r="AS172" s="393" t="e">
        <f t="shared" si="70"/>
        <v>#DIV/0!</v>
      </c>
      <c r="AT172" s="393" t="e">
        <f t="shared" si="71"/>
        <v>#DIV/0!</v>
      </c>
      <c r="AU172" s="393" t="e">
        <f t="shared" si="72"/>
        <v>#DIV/0!</v>
      </c>
      <c r="AV172" s="393" t="e">
        <f t="shared" si="73"/>
        <v>#DIV/0!</v>
      </c>
      <c r="AW172" s="393" t="e">
        <f t="shared" si="74"/>
        <v>#DIV/0!</v>
      </c>
      <c r="AX172" s="393" t="e">
        <f t="shared" si="75"/>
        <v>#DIV/0!</v>
      </c>
      <c r="AY172" s="393" t="e">
        <f t="shared" si="76"/>
        <v>#DIV/0!</v>
      </c>
      <c r="AZ172" s="393" t="e">
        <f t="shared" si="77"/>
        <v>#DIV/0!</v>
      </c>
      <c r="BA172" s="393" t="e">
        <f t="shared" si="78"/>
        <v>#DIV/0!</v>
      </c>
      <c r="BB172" s="393" t="e">
        <f t="shared" si="79"/>
        <v>#DIV/0!</v>
      </c>
    </row>
    <row r="173" spans="1:54" x14ac:dyDescent="0.25">
      <c r="A173" s="360" t="s">
        <v>724</v>
      </c>
      <c r="B173" s="480"/>
      <c r="C173" s="480"/>
      <c r="D173" s="480">
        <f>621/1800</f>
        <v>0.34499999999999997</v>
      </c>
      <c r="E173" s="480"/>
      <c r="F173" s="480"/>
      <c r="G173" s="480"/>
      <c r="H173" s="480"/>
      <c r="I173" s="480"/>
      <c r="J173" s="480"/>
      <c r="K173" s="480"/>
      <c r="L173" s="480"/>
      <c r="M173" s="480"/>
      <c r="N173" s="480"/>
      <c r="O173" s="480"/>
      <c r="P173" s="480"/>
      <c r="Q173" s="480"/>
      <c r="R173" s="480"/>
      <c r="S173" s="480"/>
      <c r="T173" s="480"/>
      <c r="U173" s="480"/>
      <c r="V173" s="480"/>
      <c r="W173" s="480"/>
      <c r="X173" s="480"/>
      <c r="Y173" s="480"/>
      <c r="Z173" s="480"/>
      <c r="AA173" s="480"/>
      <c r="AB173" s="480"/>
      <c r="AC173" s="393" t="e">
        <f t="shared" si="54"/>
        <v>#DIV/0!</v>
      </c>
      <c r="AD173" s="393" t="e">
        <f t="shared" si="55"/>
        <v>#DIV/0!</v>
      </c>
      <c r="AE173" s="393">
        <f t="shared" si="56"/>
        <v>-100</v>
      </c>
      <c r="AF173" s="393" t="e">
        <f t="shared" si="57"/>
        <v>#DIV/0!</v>
      </c>
      <c r="AG173" s="393" t="e">
        <f t="shared" si="58"/>
        <v>#DIV/0!</v>
      </c>
      <c r="AH173" s="393" t="e">
        <f t="shared" si="59"/>
        <v>#DIV/0!</v>
      </c>
      <c r="AI173" s="393" t="e">
        <f t="shared" si="60"/>
        <v>#DIV/0!</v>
      </c>
      <c r="AJ173" s="393" t="e">
        <f t="shared" si="61"/>
        <v>#DIV/0!</v>
      </c>
      <c r="AK173" s="393" t="e">
        <f t="shared" si="62"/>
        <v>#DIV/0!</v>
      </c>
      <c r="AL173" s="393" t="e">
        <f t="shared" si="63"/>
        <v>#DIV/0!</v>
      </c>
      <c r="AM173" s="393" t="e">
        <f t="shared" si="64"/>
        <v>#DIV/0!</v>
      </c>
      <c r="AN173" s="393" t="e">
        <f t="shared" si="65"/>
        <v>#DIV/0!</v>
      </c>
      <c r="AO173" s="393" t="e">
        <f t="shared" si="66"/>
        <v>#DIV/0!</v>
      </c>
      <c r="AP173" s="393" t="e">
        <f t="shared" si="67"/>
        <v>#DIV/0!</v>
      </c>
      <c r="AQ173" s="393" t="e">
        <f t="shared" si="68"/>
        <v>#DIV/0!</v>
      </c>
      <c r="AR173" s="393" t="e">
        <f t="shared" si="69"/>
        <v>#DIV/0!</v>
      </c>
      <c r="AS173" s="393" t="e">
        <f t="shared" si="70"/>
        <v>#DIV/0!</v>
      </c>
      <c r="AT173" s="393" t="e">
        <f t="shared" si="71"/>
        <v>#DIV/0!</v>
      </c>
      <c r="AU173" s="393" t="e">
        <f t="shared" si="72"/>
        <v>#DIV/0!</v>
      </c>
      <c r="AV173" s="393" t="e">
        <f t="shared" si="73"/>
        <v>#DIV/0!</v>
      </c>
      <c r="AW173" s="393" t="e">
        <f t="shared" si="74"/>
        <v>#DIV/0!</v>
      </c>
      <c r="AX173" s="393" t="e">
        <f t="shared" si="75"/>
        <v>#DIV/0!</v>
      </c>
      <c r="AY173" s="393" t="e">
        <f t="shared" si="76"/>
        <v>#DIV/0!</v>
      </c>
      <c r="AZ173" s="393" t="e">
        <f t="shared" si="77"/>
        <v>#DIV/0!</v>
      </c>
      <c r="BA173" s="393" t="e">
        <f t="shared" si="78"/>
        <v>#DIV/0!</v>
      </c>
      <c r="BB173" s="393" t="e">
        <f t="shared" si="79"/>
        <v>#DIV/0!</v>
      </c>
    </row>
    <row r="174" spans="1:54" x14ac:dyDescent="0.25">
      <c r="A174" s="361" t="s">
        <v>1198</v>
      </c>
      <c r="B174" s="480"/>
      <c r="C174" s="480"/>
      <c r="D174" s="480"/>
      <c r="E174" s="480"/>
      <c r="F174" s="480"/>
      <c r="G174" s="480"/>
      <c r="H174" s="480"/>
      <c r="I174" s="480"/>
      <c r="J174" s="480"/>
      <c r="K174" s="480"/>
      <c r="L174" s="480"/>
      <c r="M174" s="480"/>
      <c r="N174" s="480"/>
      <c r="O174" s="480"/>
      <c r="P174" s="480"/>
      <c r="Q174" s="480"/>
      <c r="R174" s="480">
        <f>891/1800</f>
        <v>0.495</v>
      </c>
      <c r="S174" s="480"/>
      <c r="T174" s="480"/>
      <c r="U174" s="480"/>
      <c r="V174" s="480"/>
      <c r="W174" s="480"/>
      <c r="X174" s="480"/>
      <c r="Y174" s="480"/>
      <c r="Z174" s="480"/>
      <c r="AA174" s="480"/>
      <c r="AB174" s="480"/>
      <c r="AC174" s="393" t="e">
        <f t="shared" si="54"/>
        <v>#DIV/0!</v>
      </c>
      <c r="AD174" s="393" t="e">
        <f t="shared" si="55"/>
        <v>#DIV/0!</v>
      </c>
      <c r="AE174" s="393" t="e">
        <f t="shared" si="56"/>
        <v>#DIV/0!</v>
      </c>
      <c r="AF174" s="393" t="e">
        <f t="shared" si="57"/>
        <v>#DIV/0!</v>
      </c>
      <c r="AG174" s="393" t="e">
        <f t="shared" si="58"/>
        <v>#DIV/0!</v>
      </c>
      <c r="AH174" s="393" t="e">
        <f t="shared" si="59"/>
        <v>#DIV/0!</v>
      </c>
      <c r="AI174" s="393" t="e">
        <f t="shared" si="60"/>
        <v>#DIV/0!</v>
      </c>
      <c r="AJ174" s="393" t="e">
        <f t="shared" si="61"/>
        <v>#DIV/0!</v>
      </c>
      <c r="AK174" s="393" t="e">
        <f t="shared" si="62"/>
        <v>#DIV/0!</v>
      </c>
      <c r="AL174" s="393" t="e">
        <f t="shared" si="63"/>
        <v>#DIV/0!</v>
      </c>
      <c r="AM174" s="393" t="e">
        <f t="shared" si="64"/>
        <v>#DIV/0!</v>
      </c>
      <c r="AN174" s="393" t="e">
        <f t="shared" si="65"/>
        <v>#DIV/0!</v>
      </c>
      <c r="AO174" s="393" t="e">
        <f t="shared" si="66"/>
        <v>#DIV/0!</v>
      </c>
      <c r="AP174" s="393" t="e">
        <f t="shared" si="67"/>
        <v>#DIV/0!</v>
      </c>
      <c r="AQ174" s="393" t="e">
        <f t="shared" si="68"/>
        <v>#DIV/0!</v>
      </c>
      <c r="AR174" s="393" t="e">
        <f t="shared" si="69"/>
        <v>#DIV/0!</v>
      </c>
      <c r="AS174" s="393">
        <f t="shared" si="70"/>
        <v>-100</v>
      </c>
      <c r="AT174" s="393" t="e">
        <f t="shared" si="71"/>
        <v>#DIV/0!</v>
      </c>
      <c r="AU174" s="393" t="e">
        <f t="shared" si="72"/>
        <v>#DIV/0!</v>
      </c>
      <c r="AV174" s="393" t="e">
        <f t="shared" si="73"/>
        <v>#DIV/0!</v>
      </c>
      <c r="AW174" s="393" t="e">
        <f t="shared" si="74"/>
        <v>#DIV/0!</v>
      </c>
      <c r="AX174" s="393" t="e">
        <f t="shared" si="75"/>
        <v>#DIV/0!</v>
      </c>
      <c r="AY174" s="393" t="e">
        <f t="shared" si="76"/>
        <v>#DIV/0!</v>
      </c>
      <c r="AZ174" s="393" t="e">
        <f t="shared" si="77"/>
        <v>#DIV/0!</v>
      </c>
      <c r="BA174" s="393" t="e">
        <f t="shared" si="78"/>
        <v>#DIV/0!</v>
      </c>
      <c r="BB174" s="393" t="e">
        <f t="shared" si="79"/>
        <v>#DIV/0!</v>
      </c>
    </row>
    <row r="175" spans="1:54" x14ac:dyDescent="0.25">
      <c r="A175" s="361" t="s">
        <v>1202</v>
      </c>
      <c r="B175" s="480"/>
      <c r="C175" s="480"/>
      <c r="D175" s="480"/>
      <c r="E175" s="480"/>
      <c r="F175" s="480"/>
      <c r="G175" s="480"/>
      <c r="H175" s="480"/>
      <c r="I175" s="480"/>
      <c r="J175" s="480"/>
      <c r="K175" s="480"/>
      <c r="L175" s="480"/>
      <c r="M175" s="480"/>
      <c r="N175" s="480"/>
      <c r="O175" s="480"/>
      <c r="P175" s="480"/>
      <c r="Q175" s="480"/>
      <c r="R175" s="480"/>
      <c r="S175" s="480"/>
      <c r="T175" s="480"/>
      <c r="U175" s="480">
        <f>1095/1800</f>
        <v>0.60829999999999995</v>
      </c>
      <c r="V175" s="480"/>
      <c r="W175" s="480"/>
      <c r="X175" s="480"/>
      <c r="Y175" s="480"/>
      <c r="Z175" s="480"/>
      <c r="AA175" s="480"/>
      <c r="AB175" s="480"/>
      <c r="AC175" s="393" t="e">
        <f t="shared" si="54"/>
        <v>#DIV/0!</v>
      </c>
      <c r="AD175" s="393" t="e">
        <f t="shared" si="55"/>
        <v>#DIV/0!</v>
      </c>
      <c r="AE175" s="393" t="e">
        <f t="shared" si="56"/>
        <v>#DIV/0!</v>
      </c>
      <c r="AF175" s="393" t="e">
        <f t="shared" si="57"/>
        <v>#DIV/0!</v>
      </c>
      <c r="AG175" s="393" t="e">
        <f t="shared" si="58"/>
        <v>#DIV/0!</v>
      </c>
      <c r="AH175" s="393" t="e">
        <f t="shared" si="59"/>
        <v>#DIV/0!</v>
      </c>
      <c r="AI175" s="393" t="e">
        <f t="shared" si="60"/>
        <v>#DIV/0!</v>
      </c>
      <c r="AJ175" s="393" t="e">
        <f t="shared" si="61"/>
        <v>#DIV/0!</v>
      </c>
      <c r="AK175" s="393" t="e">
        <f t="shared" si="62"/>
        <v>#DIV/0!</v>
      </c>
      <c r="AL175" s="393" t="e">
        <f t="shared" si="63"/>
        <v>#DIV/0!</v>
      </c>
      <c r="AM175" s="393" t="e">
        <f t="shared" si="64"/>
        <v>#DIV/0!</v>
      </c>
      <c r="AN175" s="393" t="e">
        <f t="shared" si="65"/>
        <v>#DIV/0!</v>
      </c>
      <c r="AO175" s="393" t="e">
        <f t="shared" si="66"/>
        <v>#DIV/0!</v>
      </c>
      <c r="AP175" s="393" t="e">
        <f t="shared" si="67"/>
        <v>#DIV/0!</v>
      </c>
      <c r="AQ175" s="393" t="e">
        <f t="shared" si="68"/>
        <v>#DIV/0!</v>
      </c>
      <c r="AR175" s="393" t="e">
        <f t="shared" si="69"/>
        <v>#DIV/0!</v>
      </c>
      <c r="AS175" s="393" t="e">
        <f t="shared" si="70"/>
        <v>#DIV/0!</v>
      </c>
      <c r="AT175" s="393" t="e">
        <f t="shared" si="71"/>
        <v>#DIV/0!</v>
      </c>
      <c r="AU175" s="393" t="e">
        <f t="shared" si="72"/>
        <v>#DIV/0!</v>
      </c>
      <c r="AV175" s="393">
        <f t="shared" si="73"/>
        <v>-100</v>
      </c>
      <c r="AW175" s="393" t="e">
        <f t="shared" si="74"/>
        <v>#DIV/0!</v>
      </c>
      <c r="AX175" s="393" t="e">
        <f t="shared" si="75"/>
        <v>#DIV/0!</v>
      </c>
      <c r="AY175" s="393" t="e">
        <f t="shared" si="76"/>
        <v>#DIV/0!</v>
      </c>
      <c r="AZ175" s="393" t="e">
        <f t="shared" si="77"/>
        <v>#DIV/0!</v>
      </c>
      <c r="BA175" s="393" t="e">
        <f t="shared" si="78"/>
        <v>#DIV/0!</v>
      </c>
      <c r="BB175" s="393" t="e">
        <f t="shared" si="79"/>
        <v>#DIV/0!</v>
      </c>
    </row>
    <row r="176" spans="1:54" x14ac:dyDescent="0.25">
      <c r="A176" s="361" t="s">
        <v>1042</v>
      </c>
      <c r="B176" s="480"/>
      <c r="C176" s="480"/>
      <c r="D176" s="480"/>
      <c r="E176" s="480"/>
      <c r="F176" s="480"/>
      <c r="G176" s="480"/>
      <c r="H176" s="480"/>
      <c r="I176" s="480"/>
      <c r="J176" s="480"/>
      <c r="K176" s="480"/>
      <c r="L176" s="480">
        <f>619/1200</f>
        <v>0.51580000000000004</v>
      </c>
      <c r="M176" s="480"/>
      <c r="N176" s="480"/>
      <c r="O176" s="480"/>
      <c r="P176" s="480"/>
      <c r="Q176" s="480"/>
      <c r="R176" s="480"/>
      <c r="S176" s="480"/>
      <c r="T176" s="480"/>
      <c r="U176" s="480"/>
      <c r="V176" s="480"/>
      <c r="W176" s="480"/>
      <c r="X176" s="480"/>
      <c r="Y176" s="480"/>
      <c r="Z176" s="480"/>
      <c r="AA176" s="480"/>
      <c r="AB176" s="480"/>
      <c r="AC176" s="393" t="e">
        <f t="shared" si="54"/>
        <v>#DIV/0!</v>
      </c>
      <c r="AD176" s="393" t="e">
        <f t="shared" si="55"/>
        <v>#DIV/0!</v>
      </c>
      <c r="AE176" s="393" t="e">
        <f t="shared" si="56"/>
        <v>#DIV/0!</v>
      </c>
      <c r="AF176" s="393" t="e">
        <f t="shared" si="57"/>
        <v>#DIV/0!</v>
      </c>
      <c r="AG176" s="393" t="e">
        <f t="shared" si="58"/>
        <v>#DIV/0!</v>
      </c>
      <c r="AH176" s="393" t="e">
        <f t="shared" si="59"/>
        <v>#DIV/0!</v>
      </c>
      <c r="AI176" s="393" t="e">
        <f t="shared" si="60"/>
        <v>#DIV/0!</v>
      </c>
      <c r="AJ176" s="393" t="e">
        <f t="shared" si="61"/>
        <v>#DIV/0!</v>
      </c>
      <c r="AK176" s="393" t="e">
        <f t="shared" si="62"/>
        <v>#DIV/0!</v>
      </c>
      <c r="AL176" s="393" t="e">
        <f t="shared" si="63"/>
        <v>#DIV/0!</v>
      </c>
      <c r="AM176" s="393">
        <f t="shared" si="64"/>
        <v>-100</v>
      </c>
      <c r="AN176" s="393" t="e">
        <f t="shared" si="65"/>
        <v>#DIV/0!</v>
      </c>
      <c r="AO176" s="393" t="e">
        <f t="shared" si="66"/>
        <v>#DIV/0!</v>
      </c>
      <c r="AP176" s="393" t="e">
        <f t="shared" si="67"/>
        <v>#DIV/0!</v>
      </c>
      <c r="AQ176" s="393" t="e">
        <f t="shared" si="68"/>
        <v>#DIV/0!</v>
      </c>
      <c r="AR176" s="393" t="e">
        <f t="shared" si="69"/>
        <v>#DIV/0!</v>
      </c>
      <c r="AS176" s="393" t="e">
        <f t="shared" si="70"/>
        <v>#DIV/0!</v>
      </c>
      <c r="AT176" s="393" t="e">
        <f t="shared" si="71"/>
        <v>#DIV/0!</v>
      </c>
      <c r="AU176" s="393" t="e">
        <f t="shared" si="72"/>
        <v>#DIV/0!</v>
      </c>
      <c r="AV176" s="393" t="e">
        <f t="shared" si="73"/>
        <v>#DIV/0!</v>
      </c>
      <c r="AW176" s="393" t="e">
        <f t="shared" si="74"/>
        <v>#DIV/0!</v>
      </c>
      <c r="AX176" s="393" t="e">
        <f t="shared" si="75"/>
        <v>#DIV/0!</v>
      </c>
      <c r="AY176" s="393" t="e">
        <f t="shared" si="76"/>
        <v>#DIV/0!</v>
      </c>
      <c r="AZ176" s="393" t="e">
        <f t="shared" si="77"/>
        <v>#DIV/0!</v>
      </c>
      <c r="BA176" s="393" t="e">
        <f t="shared" si="78"/>
        <v>#DIV/0!</v>
      </c>
      <c r="BB176" s="393" t="e">
        <f t="shared" si="79"/>
        <v>#DIV/0!</v>
      </c>
    </row>
    <row r="177" spans="1:54" x14ac:dyDescent="0.25">
      <c r="A177" s="361" t="s">
        <v>982</v>
      </c>
      <c r="B177" s="480"/>
      <c r="C177" s="480"/>
      <c r="D177" s="480"/>
      <c r="E177" s="480"/>
      <c r="F177" s="480"/>
      <c r="G177" s="480"/>
      <c r="H177" s="480"/>
      <c r="I177" s="480"/>
      <c r="J177" s="480"/>
      <c r="K177" s="480"/>
      <c r="L177" s="480"/>
      <c r="M177" s="480"/>
      <c r="N177" s="480"/>
      <c r="O177" s="480"/>
      <c r="P177" s="480"/>
      <c r="Q177" s="480"/>
      <c r="R177" s="480"/>
      <c r="S177" s="480"/>
      <c r="T177" s="480"/>
      <c r="U177" s="480"/>
      <c r="V177" s="480"/>
      <c r="W177" s="480">
        <f>710/1200</f>
        <v>0.5917</v>
      </c>
      <c r="X177" s="480"/>
      <c r="Y177" s="480"/>
      <c r="Z177" s="480"/>
      <c r="AA177" s="480"/>
      <c r="AB177" s="480"/>
      <c r="AC177" s="393" t="e">
        <f t="shared" si="54"/>
        <v>#DIV/0!</v>
      </c>
      <c r="AD177" s="393" t="e">
        <f t="shared" si="55"/>
        <v>#DIV/0!</v>
      </c>
      <c r="AE177" s="393" t="e">
        <f t="shared" si="56"/>
        <v>#DIV/0!</v>
      </c>
      <c r="AF177" s="393" t="e">
        <f t="shared" si="57"/>
        <v>#DIV/0!</v>
      </c>
      <c r="AG177" s="393" t="e">
        <f t="shared" si="58"/>
        <v>#DIV/0!</v>
      </c>
      <c r="AH177" s="393" t="e">
        <f t="shared" si="59"/>
        <v>#DIV/0!</v>
      </c>
      <c r="AI177" s="393" t="e">
        <f t="shared" si="60"/>
        <v>#DIV/0!</v>
      </c>
      <c r="AJ177" s="393" t="e">
        <f t="shared" si="61"/>
        <v>#DIV/0!</v>
      </c>
      <c r="AK177" s="393" t="e">
        <f t="shared" si="62"/>
        <v>#DIV/0!</v>
      </c>
      <c r="AL177" s="393" t="e">
        <f t="shared" si="63"/>
        <v>#DIV/0!</v>
      </c>
      <c r="AM177" s="393" t="e">
        <f t="shared" si="64"/>
        <v>#DIV/0!</v>
      </c>
      <c r="AN177" s="393" t="e">
        <f t="shared" si="65"/>
        <v>#DIV/0!</v>
      </c>
      <c r="AO177" s="393" t="e">
        <f t="shared" si="66"/>
        <v>#DIV/0!</v>
      </c>
      <c r="AP177" s="393" t="e">
        <f t="shared" si="67"/>
        <v>#DIV/0!</v>
      </c>
      <c r="AQ177" s="393" t="e">
        <f t="shared" si="68"/>
        <v>#DIV/0!</v>
      </c>
      <c r="AR177" s="393" t="e">
        <f t="shared" si="69"/>
        <v>#DIV/0!</v>
      </c>
      <c r="AS177" s="393" t="e">
        <f t="shared" si="70"/>
        <v>#DIV/0!</v>
      </c>
      <c r="AT177" s="393" t="e">
        <f t="shared" si="71"/>
        <v>#DIV/0!</v>
      </c>
      <c r="AU177" s="393" t="e">
        <f t="shared" si="72"/>
        <v>#DIV/0!</v>
      </c>
      <c r="AV177" s="393" t="e">
        <f t="shared" si="73"/>
        <v>#DIV/0!</v>
      </c>
      <c r="AW177" s="393" t="e">
        <f t="shared" si="74"/>
        <v>#DIV/0!</v>
      </c>
      <c r="AX177" s="393">
        <f t="shared" si="75"/>
        <v>-100</v>
      </c>
      <c r="AY177" s="393" t="e">
        <f t="shared" si="76"/>
        <v>#DIV/0!</v>
      </c>
      <c r="AZ177" s="393" t="e">
        <f t="shared" si="77"/>
        <v>#DIV/0!</v>
      </c>
      <c r="BA177" s="393" t="e">
        <f t="shared" si="78"/>
        <v>#DIV/0!</v>
      </c>
      <c r="BB177" s="393" t="e">
        <f t="shared" si="79"/>
        <v>#DIV/0!</v>
      </c>
    </row>
    <row r="178" spans="1:54" x14ac:dyDescent="0.25">
      <c r="A178" s="361" t="s">
        <v>466</v>
      </c>
      <c r="B178" s="480"/>
      <c r="C178" s="480"/>
      <c r="D178" s="480"/>
      <c r="E178" s="480"/>
      <c r="F178" s="480"/>
      <c r="G178" s="480"/>
      <c r="H178" s="480"/>
      <c r="I178" s="480"/>
      <c r="J178" s="480"/>
      <c r="K178" s="480"/>
      <c r="L178" s="480"/>
      <c r="M178" s="480"/>
      <c r="N178" s="480"/>
      <c r="O178" s="480"/>
      <c r="P178" s="480"/>
      <c r="Q178" s="480"/>
      <c r="R178" s="480"/>
      <c r="S178" s="480"/>
      <c r="T178" s="480">
        <f>630/1200</f>
        <v>0.52500000000000002</v>
      </c>
      <c r="U178" s="480"/>
      <c r="V178" s="480"/>
      <c r="W178" s="480"/>
      <c r="X178" s="480"/>
      <c r="Y178" s="480"/>
      <c r="Z178" s="480"/>
      <c r="AA178" s="480"/>
      <c r="AB178" s="480"/>
      <c r="AC178" s="393" t="e">
        <f t="shared" si="54"/>
        <v>#DIV/0!</v>
      </c>
      <c r="AD178" s="393" t="e">
        <f t="shared" si="55"/>
        <v>#DIV/0!</v>
      </c>
      <c r="AE178" s="393" t="e">
        <f t="shared" si="56"/>
        <v>#DIV/0!</v>
      </c>
      <c r="AF178" s="393" t="e">
        <f t="shared" si="57"/>
        <v>#DIV/0!</v>
      </c>
      <c r="AG178" s="393" t="e">
        <f t="shared" si="58"/>
        <v>#DIV/0!</v>
      </c>
      <c r="AH178" s="393" t="e">
        <f t="shared" si="59"/>
        <v>#DIV/0!</v>
      </c>
      <c r="AI178" s="393" t="e">
        <f t="shared" si="60"/>
        <v>#DIV/0!</v>
      </c>
      <c r="AJ178" s="393" t="e">
        <f t="shared" si="61"/>
        <v>#DIV/0!</v>
      </c>
      <c r="AK178" s="393" t="e">
        <f t="shared" si="62"/>
        <v>#DIV/0!</v>
      </c>
      <c r="AL178" s="393" t="e">
        <f t="shared" si="63"/>
        <v>#DIV/0!</v>
      </c>
      <c r="AM178" s="393" t="e">
        <f t="shared" si="64"/>
        <v>#DIV/0!</v>
      </c>
      <c r="AN178" s="393" t="e">
        <f t="shared" si="65"/>
        <v>#DIV/0!</v>
      </c>
      <c r="AO178" s="393" t="e">
        <f t="shared" si="66"/>
        <v>#DIV/0!</v>
      </c>
      <c r="AP178" s="393" t="e">
        <f t="shared" si="67"/>
        <v>#DIV/0!</v>
      </c>
      <c r="AQ178" s="393" t="e">
        <f t="shared" si="68"/>
        <v>#DIV/0!</v>
      </c>
      <c r="AR178" s="393" t="e">
        <f t="shared" si="69"/>
        <v>#DIV/0!</v>
      </c>
      <c r="AS178" s="393" t="e">
        <f t="shared" si="70"/>
        <v>#DIV/0!</v>
      </c>
      <c r="AT178" s="393" t="e">
        <f t="shared" si="71"/>
        <v>#DIV/0!</v>
      </c>
      <c r="AU178" s="393">
        <f t="shared" si="72"/>
        <v>-100</v>
      </c>
      <c r="AV178" s="393" t="e">
        <f t="shared" si="73"/>
        <v>#DIV/0!</v>
      </c>
      <c r="AW178" s="393" t="e">
        <f t="shared" si="74"/>
        <v>#DIV/0!</v>
      </c>
      <c r="AX178" s="393" t="e">
        <f t="shared" si="75"/>
        <v>#DIV/0!</v>
      </c>
      <c r="AY178" s="393" t="e">
        <f t="shared" si="76"/>
        <v>#DIV/0!</v>
      </c>
      <c r="AZ178" s="393" t="e">
        <f t="shared" si="77"/>
        <v>#DIV/0!</v>
      </c>
      <c r="BA178" s="393" t="e">
        <f t="shared" si="78"/>
        <v>#DIV/0!</v>
      </c>
      <c r="BB178" s="393" t="e">
        <f t="shared" si="79"/>
        <v>#DIV/0!</v>
      </c>
    </row>
    <row r="179" spans="1:54" x14ac:dyDescent="0.25">
      <c r="A179" s="361" t="s">
        <v>347</v>
      </c>
      <c r="B179" s="480"/>
      <c r="C179" s="480"/>
      <c r="D179" s="480"/>
      <c r="E179" s="480"/>
      <c r="F179" s="480"/>
      <c r="G179" s="480"/>
      <c r="H179" s="480"/>
      <c r="I179" s="480"/>
      <c r="J179" s="480"/>
      <c r="K179" s="480"/>
      <c r="L179" s="480"/>
      <c r="M179" s="480"/>
      <c r="N179" s="480"/>
      <c r="O179" s="480"/>
      <c r="P179" s="480">
        <f>761/1800</f>
        <v>0.42280000000000001</v>
      </c>
      <c r="Q179" s="480"/>
      <c r="R179" s="480"/>
      <c r="S179" s="480"/>
      <c r="T179" s="480"/>
      <c r="U179" s="480"/>
      <c r="V179" s="480"/>
      <c r="W179" s="480"/>
      <c r="X179" s="480"/>
      <c r="Y179" s="480"/>
      <c r="Z179" s="480"/>
      <c r="AA179" s="480"/>
      <c r="AB179" s="480"/>
      <c r="AC179" s="393" t="e">
        <f t="shared" si="54"/>
        <v>#DIV/0!</v>
      </c>
      <c r="AD179" s="393" t="e">
        <f t="shared" si="55"/>
        <v>#DIV/0!</v>
      </c>
      <c r="AE179" s="393" t="e">
        <f t="shared" si="56"/>
        <v>#DIV/0!</v>
      </c>
      <c r="AF179" s="393" t="e">
        <f t="shared" si="57"/>
        <v>#DIV/0!</v>
      </c>
      <c r="AG179" s="393" t="e">
        <f t="shared" si="58"/>
        <v>#DIV/0!</v>
      </c>
      <c r="AH179" s="393" t="e">
        <f t="shared" si="59"/>
        <v>#DIV/0!</v>
      </c>
      <c r="AI179" s="393" t="e">
        <f t="shared" si="60"/>
        <v>#DIV/0!</v>
      </c>
      <c r="AJ179" s="393" t="e">
        <f t="shared" si="61"/>
        <v>#DIV/0!</v>
      </c>
      <c r="AK179" s="393" t="e">
        <f t="shared" si="62"/>
        <v>#DIV/0!</v>
      </c>
      <c r="AL179" s="393" t="e">
        <f t="shared" si="63"/>
        <v>#DIV/0!</v>
      </c>
      <c r="AM179" s="393" t="e">
        <f t="shared" si="64"/>
        <v>#DIV/0!</v>
      </c>
      <c r="AN179" s="393" t="e">
        <f t="shared" si="65"/>
        <v>#DIV/0!</v>
      </c>
      <c r="AO179" s="393" t="e">
        <f t="shared" si="66"/>
        <v>#DIV/0!</v>
      </c>
      <c r="AP179" s="393" t="e">
        <f t="shared" si="67"/>
        <v>#DIV/0!</v>
      </c>
      <c r="AQ179" s="393">
        <f t="shared" si="68"/>
        <v>-100</v>
      </c>
      <c r="AR179" s="393" t="e">
        <f t="shared" si="69"/>
        <v>#DIV/0!</v>
      </c>
      <c r="AS179" s="393" t="e">
        <f t="shared" si="70"/>
        <v>#DIV/0!</v>
      </c>
      <c r="AT179" s="393" t="e">
        <f t="shared" si="71"/>
        <v>#DIV/0!</v>
      </c>
      <c r="AU179" s="393" t="e">
        <f t="shared" si="72"/>
        <v>#DIV/0!</v>
      </c>
      <c r="AV179" s="393" t="e">
        <f t="shared" si="73"/>
        <v>#DIV/0!</v>
      </c>
      <c r="AW179" s="393" t="e">
        <f t="shared" si="74"/>
        <v>#DIV/0!</v>
      </c>
      <c r="AX179" s="393" t="e">
        <f t="shared" si="75"/>
        <v>#DIV/0!</v>
      </c>
      <c r="AY179" s="393" t="e">
        <f t="shared" si="76"/>
        <v>#DIV/0!</v>
      </c>
      <c r="AZ179" s="393" t="e">
        <f t="shared" si="77"/>
        <v>#DIV/0!</v>
      </c>
      <c r="BA179" s="393" t="e">
        <f t="shared" si="78"/>
        <v>#DIV/0!</v>
      </c>
      <c r="BB179" s="393" t="e">
        <f t="shared" si="79"/>
        <v>#DIV/0!</v>
      </c>
    </row>
    <row r="180" spans="1:54" x14ac:dyDescent="0.25">
      <c r="A180" s="361" t="s">
        <v>1603</v>
      </c>
      <c r="B180" s="480"/>
      <c r="C180" s="480"/>
      <c r="D180" s="480"/>
      <c r="E180" s="480"/>
      <c r="F180" s="480"/>
      <c r="G180" s="480"/>
      <c r="H180" s="480"/>
      <c r="I180" s="480"/>
      <c r="J180" s="480"/>
      <c r="K180" s="480"/>
      <c r="L180" s="480"/>
      <c r="M180" s="480"/>
      <c r="N180" s="480"/>
      <c r="O180" s="480"/>
      <c r="P180" s="480"/>
      <c r="Q180" s="480"/>
      <c r="R180" s="480"/>
      <c r="S180" s="480">
        <f>1128/1800</f>
        <v>0.62670000000000003</v>
      </c>
      <c r="T180" s="480">
        <f>743/1200</f>
        <v>0.61919999999999997</v>
      </c>
      <c r="U180" s="480"/>
      <c r="V180" s="480"/>
      <c r="W180" s="480"/>
      <c r="X180" s="480"/>
      <c r="Y180" s="480"/>
      <c r="Z180" s="480"/>
      <c r="AA180" s="480"/>
      <c r="AB180" s="480"/>
      <c r="AC180" s="393" t="e">
        <f t="shared" si="54"/>
        <v>#DIV/0!</v>
      </c>
      <c r="AD180" s="393" t="e">
        <f t="shared" si="55"/>
        <v>#DIV/0!</v>
      </c>
      <c r="AE180" s="393" t="e">
        <f t="shared" si="56"/>
        <v>#DIV/0!</v>
      </c>
      <c r="AF180" s="393" t="e">
        <f t="shared" si="57"/>
        <v>#DIV/0!</v>
      </c>
      <c r="AG180" s="393" t="e">
        <f t="shared" si="58"/>
        <v>#DIV/0!</v>
      </c>
      <c r="AH180" s="393" t="e">
        <f t="shared" si="59"/>
        <v>#DIV/0!</v>
      </c>
      <c r="AI180" s="393" t="e">
        <f t="shared" si="60"/>
        <v>#DIV/0!</v>
      </c>
      <c r="AJ180" s="393" t="e">
        <f t="shared" si="61"/>
        <v>#DIV/0!</v>
      </c>
      <c r="AK180" s="393" t="e">
        <f t="shared" si="62"/>
        <v>#DIV/0!</v>
      </c>
      <c r="AL180" s="393" t="e">
        <f t="shared" si="63"/>
        <v>#DIV/0!</v>
      </c>
      <c r="AM180" s="393" t="e">
        <f t="shared" si="64"/>
        <v>#DIV/0!</v>
      </c>
      <c r="AN180" s="393" t="e">
        <f t="shared" si="65"/>
        <v>#DIV/0!</v>
      </c>
      <c r="AO180" s="393" t="e">
        <f t="shared" si="66"/>
        <v>#DIV/0!</v>
      </c>
      <c r="AP180" s="393" t="e">
        <f t="shared" si="67"/>
        <v>#DIV/0!</v>
      </c>
      <c r="AQ180" s="393" t="e">
        <f t="shared" si="68"/>
        <v>#DIV/0!</v>
      </c>
      <c r="AR180" s="393" t="e">
        <f t="shared" si="69"/>
        <v>#DIV/0!</v>
      </c>
      <c r="AS180" s="393" t="e">
        <f t="shared" si="70"/>
        <v>#DIV/0!</v>
      </c>
      <c r="AT180" s="393">
        <f t="shared" si="71"/>
        <v>-1.1970000000000001</v>
      </c>
      <c r="AU180" s="393">
        <f t="shared" si="72"/>
        <v>-100</v>
      </c>
      <c r="AV180" s="393" t="e">
        <f t="shared" si="73"/>
        <v>#DIV/0!</v>
      </c>
      <c r="AW180" s="393" t="e">
        <f t="shared" si="74"/>
        <v>#DIV/0!</v>
      </c>
      <c r="AX180" s="393" t="e">
        <f t="shared" si="75"/>
        <v>#DIV/0!</v>
      </c>
      <c r="AY180" s="393" t="e">
        <f t="shared" si="76"/>
        <v>#DIV/0!</v>
      </c>
      <c r="AZ180" s="393" t="e">
        <f t="shared" si="77"/>
        <v>#DIV/0!</v>
      </c>
      <c r="BA180" s="393" t="e">
        <f t="shared" si="78"/>
        <v>#DIV/0!</v>
      </c>
      <c r="BB180" s="393" t="e">
        <f t="shared" si="79"/>
        <v>#DIV/0!</v>
      </c>
    </row>
    <row r="181" spans="1:54" x14ac:dyDescent="0.25">
      <c r="A181" s="361" t="s">
        <v>994</v>
      </c>
      <c r="B181" s="480"/>
      <c r="C181" s="480"/>
      <c r="D181" s="480"/>
      <c r="E181" s="480"/>
      <c r="F181" s="480"/>
      <c r="G181" s="480"/>
      <c r="H181" s="480"/>
      <c r="I181" s="480"/>
      <c r="J181" s="480"/>
      <c r="K181" s="480"/>
      <c r="L181" s="480"/>
      <c r="M181" s="480"/>
      <c r="N181" s="480"/>
      <c r="O181" s="480"/>
      <c r="P181" s="480"/>
      <c r="Q181" s="480"/>
      <c r="R181" s="480"/>
      <c r="S181" s="480"/>
      <c r="T181" s="480"/>
      <c r="U181" s="480">
        <f>953/1800</f>
        <v>0.52939999999999998</v>
      </c>
      <c r="V181" s="480"/>
      <c r="W181" s="480">
        <f>637/1200</f>
        <v>0.53080000000000005</v>
      </c>
      <c r="X181" s="480"/>
      <c r="Y181" s="480"/>
      <c r="Z181" s="480"/>
      <c r="AA181" s="480"/>
      <c r="AB181" s="480"/>
      <c r="AC181" s="393" t="e">
        <f t="shared" si="54"/>
        <v>#DIV/0!</v>
      </c>
      <c r="AD181" s="393" t="e">
        <f t="shared" si="55"/>
        <v>#DIV/0!</v>
      </c>
      <c r="AE181" s="393" t="e">
        <f t="shared" si="56"/>
        <v>#DIV/0!</v>
      </c>
      <c r="AF181" s="393" t="e">
        <f t="shared" si="57"/>
        <v>#DIV/0!</v>
      </c>
      <c r="AG181" s="393" t="e">
        <f t="shared" si="58"/>
        <v>#DIV/0!</v>
      </c>
      <c r="AH181" s="393" t="e">
        <f t="shared" si="59"/>
        <v>#DIV/0!</v>
      </c>
      <c r="AI181" s="393" t="e">
        <f t="shared" si="60"/>
        <v>#DIV/0!</v>
      </c>
      <c r="AJ181" s="393" t="e">
        <f t="shared" si="61"/>
        <v>#DIV/0!</v>
      </c>
      <c r="AK181" s="393" t="e">
        <f t="shared" si="62"/>
        <v>#DIV/0!</v>
      </c>
      <c r="AL181" s="393" t="e">
        <f t="shared" si="63"/>
        <v>#DIV/0!</v>
      </c>
      <c r="AM181" s="393" t="e">
        <f t="shared" si="64"/>
        <v>#DIV/0!</v>
      </c>
      <c r="AN181" s="393" t="e">
        <f t="shared" si="65"/>
        <v>#DIV/0!</v>
      </c>
      <c r="AO181" s="393" t="e">
        <f t="shared" si="66"/>
        <v>#DIV/0!</v>
      </c>
      <c r="AP181" s="393" t="e">
        <f t="shared" si="67"/>
        <v>#DIV/0!</v>
      </c>
      <c r="AQ181" s="393" t="e">
        <f t="shared" si="68"/>
        <v>#DIV/0!</v>
      </c>
      <c r="AR181" s="393" t="e">
        <f t="shared" si="69"/>
        <v>#DIV/0!</v>
      </c>
      <c r="AS181" s="393" t="e">
        <f t="shared" si="70"/>
        <v>#DIV/0!</v>
      </c>
      <c r="AT181" s="393" t="e">
        <f t="shared" si="71"/>
        <v>#DIV/0!</v>
      </c>
      <c r="AU181" s="393" t="e">
        <f t="shared" si="72"/>
        <v>#DIV/0!</v>
      </c>
      <c r="AV181" s="393">
        <f t="shared" si="73"/>
        <v>-100</v>
      </c>
      <c r="AW181" s="393" t="e">
        <f t="shared" si="74"/>
        <v>#DIV/0!</v>
      </c>
      <c r="AX181" s="393">
        <f t="shared" si="75"/>
        <v>-100</v>
      </c>
      <c r="AY181" s="393" t="e">
        <f t="shared" si="76"/>
        <v>#DIV/0!</v>
      </c>
      <c r="AZ181" s="393" t="e">
        <f t="shared" si="77"/>
        <v>#DIV/0!</v>
      </c>
      <c r="BA181" s="393" t="e">
        <f t="shared" si="78"/>
        <v>#DIV/0!</v>
      </c>
      <c r="BB181" s="393" t="e">
        <f t="shared" si="79"/>
        <v>#DIV/0!</v>
      </c>
    </row>
    <row r="182" spans="1:54" x14ac:dyDescent="0.25">
      <c r="A182" s="361" t="s">
        <v>928</v>
      </c>
      <c r="B182" s="480"/>
      <c r="C182" s="480"/>
      <c r="D182" s="480"/>
      <c r="E182" s="480"/>
      <c r="F182" s="480"/>
      <c r="G182" s="480"/>
      <c r="H182" s="480"/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>
        <f>713/1200</f>
        <v>0.59419999999999995</v>
      </c>
      <c r="X182" s="480"/>
      <c r="Y182" s="480"/>
      <c r="Z182" s="480"/>
      <c r="AA182" s="480"/>
      <c r="AB182" s="480"/>
      <c r="AC182" s="393" t="e">
        <f t="shared" si="54"/>
        <v>#DIV/0!</v>
      </c>
      <c r="AD182" s="393" t="e">
        <f t="shared" si="55"/>
        <v>#DIV/0!</v>
      </c>
      <c r="AE182" s="393" t="e">
        <f t="shared" si="56"/>
        <v>#DIV/0!</v>
      </c>
      <c r="AF182" s="393" t="e">
        <f t="shared" si="57"/>
        <v>#DIV/0!</v>
      </c>
      <c r="AG182" s="393" t="e">
        <f t="shared" si="58"/>
        <v>#DIV/0!</v>
      </c>
      <c r="AH182" s="393" t="e">
        <f t="shared" si="59"/>
        <v>#DIV/0!</v>
      </c>
      <c r="AI182" s="393" t="e">
        <f t="shared" si="60"/>
        <v>#DIV/0!</v>
      </c>
      <c r="AJ182" s="393" t="e">
        <f t="shared" si="61"/>
        <v>#DIV/0!</v>
      </c>
      <c r="AK182" s="393" t="e">
        <f t="shared" si="62"/>
        <v>#DIV/0!</v>
      </c>
      <c r="AL182" s="393" t="e">
        <f t="shared" si="63"/>
        <v>#DIV/0!</v>
      </c>
      <c r="AM182" s="393" t="e">
        <f t="shared" si="64"/>
        <v>#DIV/0!</v>
      </c>
      <c r="AN182" s="393" t="e">
        <f t="shared" si="65"/>
        <v>#DIV/0!</v>
      </c>
      <c r="AO182" s="393" t="e">
        <f t="shared" si="66"/>
        <v>#DIV/0!</v>
      </c>
      <c r="AP182" s="393" t="e">
        <f t="shared" si="67"/>
        <v>#DIV/0!</v>
      </c>
      <c r="AQ182" s="393" t="e">
        <f t="shared" si="68"/>
        <v>#DIV/0!</v>
      </c>
      <c r="AR182" s="393" t="e">
        <f t="shared" si="69"/>
        <v>#DIV/0!</v>
      </c>
      <c r="AS182" s="393" t="e">
        <f t="shared" si="70"/>
        <v>#DIV/0!</v>
      </c>
      <c r="AT182" s="393" t="e">
        <f t="shared" si="71"/>
        <v>#DIV/0!</v>
      </c>
      <c r="AU182" s="393" t="e">
        <f t="shared" si="72"/>
        <v>#DIV/0!</v>
      </c>
      <c r="AV182" s="393" t="e">
        <f t="shared" si="73"/>
        <v>#DIV/0!</v>
      </c>
      <c r="AW182" s="393" t="e">
        <f t="shared" si="74"/>
        <v>#DIV/0!</v>
      </c>
      <c r="AX182" s="393">
        <f t="shared" si="75"/>
        <v>-100</v>
      </c>
      <c r="AY182" s="393" t="e">
        <f t="shared" si="76"/>
        <v>#DIV/0!</v>
      </c>
      <c r="AZ182" s="393" t="e">
        <f t="shared" si="77"/>
        <v>#DIV/0!</v>
      </c>
      <c r="BA182" s="393" t="e">
        <f t="shared" si="78"/>
        <v>#DIV/0!</v>
      </c>
      <c r="BB182" s="393" t="e">
        <f t="shared" si="79"/>
        <v>#DIV/0!</v>
      </c>
    </row>
    <row r="183" spans="1:54" x14ac:dyDescent="0.25">
      <c r="A183" s="360" t="s">
        <v>1211</v>
      </c>
      <c r="B183" s="480"/>
      <c r="C183" s="480"/>
      <c r="D183" s="480"/>
      <c r="E183" s="480"/>
      <c r="F183" s="480">
        <f>560/1200</f>
        <v>0.4667</v>
      </c>
      <c r="G183" s="480"/>
      <c r="H183" s="480">
        <f>632/1200</f>
        <v>0.52669999999999995</v>
      </c>
      <c r="I183" s="480"/>
      <c r="J183" s="480"/>
      <c r="K183" s="480"/>
      <c r="L183" s="480"/>
      <c r="M183" s="480"/>
      <c r="N183" s="480"/>
      <c r="O183" s="480"/>
      <c r="P183" s="480"/>
      <c r="Q183" s="480"/>
      <c r="R183" s="480"/>
      <c r="S183" s="480"/>
      <c r="T183" s="480"/>
      <c r="U183" s="480"/>
      <c r="V183" s="480"/>
      <c r="W183" s="480"/>
      <c r="X183" s="480"/>
      <c r="Y183" s="480"/>
      <c r="Z183" s="480"/>
      <c r="AA183" s="480"/>
      <c r="AB183" s="480"/>
      <c r="AC183" s="393" t="e">
        <f t="shared" si="54"/>
        <v>#DIV/0!</v>
      </c>
      <c r="AD183" s="393" t="e">
        <f t="shared" si="55"/>
        <v>#DIV/0!</v>
      </c>
      <c r="AE183" s="393" t="e">
        <f t="shared" si="56"/>
        <v>#DIV/0!</v>
      </c>
      <c r="AF183" s="393" t="e">
        <f t="shared" si="57"/>
        <v>#DIV/0!</v>
      </c>
      <c r="AG183" s="393">
        <f t="shared" si="58"/>
        <v>-100</v>
      </c>
      <c r="AH183" s="393" t="e">
        <f t="shared" si="59"/>
        <v>#DIV/0!</v>
      </c>
      <c r="AI183" s="393">
        <f t="shared" si="60"/>
        <v>-100</v>
      </c>
      <c r="AJ183" s="393" t="e">
        <f t="shared" si="61"/>
        <v>#DIV/0!</v>
      </c>
      <c r="AK183" s="393" t="e">
        <f t="shared" si="62"/>
        <v>#DIV/0!</v>
      </c>
      <c r="AL183" s="393" t="e">
        <f t="shared" si="63"/>
        <v>#DIV/0!</v>
      </c>
      <c r="AM183" s="393" t="e">
        <f t="shared" si="64"/>
        <v>#DIV/0!</v>
      </c>
      <c r="AN183" s="393" t="e">
        <f t="shared" si="65"/>
        <v>#DIV/0!</v>
      </c>
      <c r="AO183" s="393" t="e">
        <f t="shared" si="66"/>
        <v>#DIV/0!</v>
      </c>
      <c r="AP183" s="393" t="e">
        <f t="shared" si="67"/>
        <v>#DIV/0!</v>
      </c>
      <c r="AQ183" s="393" t="e">
        <f t="shared" si="68"/>
        <v>#DIV/0!</v>
      </c>
      <c r="AR183" s="393" t="e">
        <f t="shared" si="69"/>
        <v>#DIV/0!</v>
      </c>
      <c r="AS183" s="393" t="e">
        <f t="shared" si="70"/>
        <v>#DIV/0!</v>
      </c>
      <c r="AT183" s="393" t="e">
        <f t="shared" si="71"/>
        <v>#DIV/0!</v>
      </c>
      <c r="AU183" s="393" t="e">
        <f t="shared" si="72"/>
        <v>#DIV/0!</v>
      </c>
      <c r="AV183" s="393" t="e">
        <f t="shared" si="73"/>
        <v>#DIV/0!</v>
      </c>
      <c r="AW183" s="393" t="e">
        <f t="shared" si="74"/>
        <v>#DIV/0!</v>
      </c>
      <c r="AX183" s="393" t="e">
        <f t="shared" si="75"/>
        <v>#DIV/0!</v>
      </c>
      <c r="AY183" s="393" t="e">
        <f t="shared" si="76"/>
        <v>#DIV/0!</v>
      </c>
      <c r="AZ183" s="393" t="e">
        <f t="shared" si="77"/>
        <v>#DIV/0!</v>
      </c>
      <c r="BA183" s="393" t="e">
        <f t="shared" si="78"/>
        <v>#DIV/0!</v>
      </c>
      <c r="BB183" s="393" t="e">
        <f t="shared" si="79"/>
        <v>#DIV/0!</v>
      </c>
    </row>
    <row r="184" spans="1:54" x14ac:dyDescent="0.25">
      <c r="A184" s="360" t="s">
        <v>3311</v>
      </c>
      <c r="B184" s="480"/>
      <c r="C184" s="480"/>
      <c r="D184" s="480"/>
      <c r="E184" s="480"/>
      <c r="F184" s="480"/>
      <c r="G184" s="480"/>
      <c r="H184" s="480"/>
      <c r="I184" s="480">
        <f>640/1200</f>
        <v>0.5333</v>
      </c>
      <c r="J184" s="480">
        <f>601/1200</f>
        <v>0.50080000000000002</v>
      </c>
      <c r="K184" s="480">
        <f>697/1200</f>
        <v>0.58079999999999998</v>
      </c>
      <c r="L184" s="480">
        <f>638/1200</f>
        <v>0.53169999999999995</v>
      </c>
      <c r="M184" s="480">
        <f>672/1200</f>
        <v>0.56000000000000005</v>
      </c>
      <c r="N184" s="480">
        <f>690/1200</f>
        <v>0.57499999999999996</v>
      </c>
      <c r="O184" s="480">
        <f>679/1200</f>
        <v>0.56579999999999997</v>
      </c>
      <c r="P184" s="480"/>
      <c r="Q184" s="480"/>
      <c r="R184" s="480"/>
      <c r="S184" s="480"/>
      <c r="T184" s="480"/>
      <c r="U184" s="480"/>
      <c r="V184" s="481"/>
      <c r="W184" s="481"/>
      <c r="X184" s="481"/>
      <c r="Y184" s="481"/>
      <c r="Z184" s="481"/>
      <c r="AA184" s="481"/>
      <c r="AB184" s="481"/>
      <c r="AC184" s="393" t="e">
        <f t="shared" si="54"/>
        <v>#DIV/0!</v>
      </c>
      <c r="AD184" s="393" t="e">
        <f t="shared" si="55"/>
        <v>#DIV/0!</v>
      </c>
      <c r="AE184" s="393" t="e">
        <f t="shared" si="56"/>
        <v>#DIV/0!</v>
      </c>
      <c r="AF184" s="393" t="e">
        <f t="shared" si="57"/>
        <v>#DIV/0!</v>
      </c>
      <c r="AG184" s="393" t="e">
        <f t="shared" si="58"/>
        <v>#DIV/0!</v>
      </c>
      <c r="AH184" s="393" t="e">
        <f t="shared" si="59"/>
        <v>#DIV/0!</v>
      </c>
      <c r="AI184" s="393" t="e">
        <f t="shared" si="60"/>
        <v>#DIV/0!</v>
      </c>
      <c r="AJ184" s="393">
        <f t="shared" si="61"/>
        <v>-6.0940000000000003</v>
      </c>
      <c r="AK184" s="393">
        <f t="shared" si="62"/>
        <v>15.974</v>
      </c>
      <c r="AL184" s="393">
        <f t="shared" si="63"/>
        <v>-8.4540000000000006</v>
      </c>
      <c r="AM184" s="393">
        <f t="shared" si="64"/>
        <v>5.3230000000000004</v>
      </c>
      <c r="AN184" s="393">
        <f t="shared" si="65"/>
        <v>2.6789999999999998</v>
      </c>
      <c r="AO184" s="393">
        <f t="shared" si="66"/>
        <v>-1.6</v>
      </c>
      <c r="AP184" s="393">
        <f t="shared" si="67"/>
        <v>-100</v>
      </c>
      <c r="AQ184" s="393" t="e">
        <f t="shared" si="68"/>
        <v>#DIV/0!</v>
      </c>
      <c r="AR184" s="393" t="e">
        <f t="shared" si="69"/>
        <v>#DIV/0!</v>
      </c>
      <c r="AS184" s="393" t="e">
        <f t="shared" si="70"/>
        <v>#DIV/0!</v>
      </c>
      <c r="AT184" s="393" t="e">
        <f t="shared" si="71"/>
        <v>#DIV/0!</v>
      </c>
      <c r="AU184" s="393" t="e">
        <f t="shared" si="72"/>
        <v>#DIV/0!</v>
      </c>
      <c r="AV184" s="393" t="e">
        <f t="shared" si="73"/>
        <v>#DIV/0!</v>
      </c>
      <c r="AW184" s="393" t="e">
        <f t="shared" si="74"/>
        <v>#DIV/0!</v>
      </c>
      <c r="AX184" s="393" t="e">
        <f t="shared" si="75"/>
        <v>#DIV/0!</v>
      </c>
      <c r="AY184" s="393" t="e">
        <f t="shared" si="76"/>
        <v>#DIV/0!</v>
      </c>
      <c r="AZ184" s="393" t="e">
        <f t="shared" si="77"/>
        <v>#DIV/0!</v>
      </c>
      <c r="BA184" s="393" t="e">
        <f t="shared" si="78"/>
        <v>#DIV/0!</v>
      </c>
      <c r="BB184" s="393" t="e">
        <f t="shared" si="79"/>
        <v>#DIV/0!</v>
      </c>
    </row>
    <row r="185" spans="1:54" x14ac:dyDescent="0.25">
      <c r="A185" s="361" t="s">
        <v>1285</v>
      </c>
      <c r="B185" s="480"/>
      <c r="C185" s="480"/>
      <c r="D185" s="480"/>
      <c r="E185" s="480"/>
      <c r="F185" s="480"/>
      <c r="G185" s="480"/>
      <c r="H185" s="480"/>
      <c r="I185" s="480"/>
      <c r="J185" s="480"/>
      <c r="K185" s="480"/>
      <c r="L185" s="480"/>
      <c r="M185" s="480"/>
      <c r="N185" s="480"/>
      <c r="O185" s="480"/>
      <c r="P185" s="480">
        <f>1011/1800</f>
        <v>0.56169999999999998</v>
      </c>
      <c r="Q185" s="480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393" t="e">
        <f t="shared" si="54"/>
        <v>#DIV/0!</v>
      </c>
      <c r="AD185" s="393" t="e">
        <f t="shared" si="55"/>
        <v>#DIV/0!</v>
      </c>
      <c r="AE185" s="393" t="e">
        <f t="shared" si="56"/>
        <v>#DIV/0!</v>
      </c>
      <c r="AF185" s="393" t="e">
        <f t="shared" si="57"/>
        <v>#DIV/0!</v>
      </c>
      <c r="AG185" s="393" t="e">
        <f t="shared" si="58"/>
        <v>#DIV/0!</v>
      </c>
      <c r="AH185" s="393" t="e">
        <f t="shared" si="59"/>
        <v>#DIV/0!</v>
      </c>
      <c r="AI185" s="393" t="e">
        <f t="shared" si="60"/>
        <v>#DIV/0!</v>
      </c>
      <c r="AJ185" s="393" t="e">
        <f t="shared" si="61"/>
        <v>#DIV/0!</v>
      </c>
      <c r="AK185" s="393" t="e">
        <f t="shared" si="62"/>
        <v>#DIV/0!</v>
      </c>
      <c r="AL185" s="393" t="e">
        <f t="shared" si="63"/>
        <v>#DIV/0!</v>
      </c>
      <c r="AM185" s="393" t="e">
        <f t="shared" si="64"/>
        <v>#DIV/0!</v>
      </c>
      <c r="AN185" s="393" t="e">
        <f t="shared" si="65"/>
        <v>#DIV/0!</v>
      </c>
      <c r="AO185" s="393" t="e">
        <f t="shared" si="66"/>
        <v>#DIV/0!</v>
      </c>
      <c r="AP185" s="393" t="e">
        <f t="shared" si="67"/>
        <v>#DIV/0!</v>
      </c>
      <c r="AQ185" s="393">
        <f t="shared" si="68"/>
        <v>-100</v>
      </c>
      <c r="AR185" s="393" t="e">
        <f t="shared" si="69"/>
        <v>#DIV/0!</v>
      </c>
      <c r="AS185" s="393" t="e">
        <f t="shared" si="70"/>
        <v>#DIV/0!</v>
      </c>
      <c r="AT185" s="393" t="e">
        <f t="shared" si="71"/>
        <v>#DIV/0!</v>
      </c>
      <c r="AU185" s="393" t="e">
        <f t="shared" si="72"/>
        <v>#DIV/0!</v>
      </c>
      <c r="AV185" s="393" t="e">
        <f t="shared" si="73"/>
        <v>#DIV/0!</v>
      </c>
      <c r="AW185" s="393" t="e">
        <f t="shared" si="74"/>
        <v>#DIV/0!</v>
      </c>
      <c r="AX185" s="393" t="e">
        <f t="shared" si="75"/>
        <v>#DIV/0!</v>
      </c>
      <c r="AY185" s="393" t="e">
        <f t="shared" si="76"/>
        <v>#DIV/0!</v>
      </c>
      <c r="AZ185" s="393" t="e">
        <f t="shared" si="77"/>
        <v>#DIV/0!</v>
      </c>
      <c r="BA185" s="393" t="e">
        <f t="shared" si="78"/>
        <v>#DIV/0!</v>
      </c>
      <c r="BB185" s="393" t="e">
        <f t="shared" si="79"/>
        <v>#DIV/0!</v>
      </c>
    </row>
    <row r="186" spans="1:54" x14ac:dyDescent="0.25">
      <c r="A186" s="361" t="s">
        <v>964</v>
      </c>
      <c r="B186" s="480"/>
      <c r="C186" s="480"/>
      <c r="D186" s="480"/>
      <c r="E186" s="480"/>
      <c r="F186" s="480"/>
      <c r="G186" s="480"/>
      <c r="H186" s="480"/>
      <c r="I186" s="480"/>
      <c r="J186" s="480"/>
      <c r="K186" s="480"/>
      <c r="L186" s="480"/>
      <c r="M186" s="480"/>
      <c r="N186" s="480"/>
      <c r="O186" s="480"/>
      <c r="P186" s="480"/>
      <c r="Q186" s="480"/>
      <c r="R186" s="480"/>
      <c r="S186" s="480"/>
      <c r="T186" s="480"/>
      <c r="U186" s="480"/>
      <c r="V186" s="481"/>
      <c r="W186" s="481">
        <f>782/1200</f>
        <v>0.65169999999999995</v>
      </c>
      <c r="X186" s="481">
        <f>1191/1800</f>
        <v>0.66169999999999995</v>
      </c>
      <c r="Y186" s="481"/>
      <c r="Z186" s="481"/>
      <c r="AA186" s="481"/>
      <c r="AB186" s="481"/>
      <c r="AC186" s="393" t="e">
        <f t="shared" si="54"/>
        <v>#DIV/0!</v>
      </c>
      <c r="AD186" s="393" t="e">
        <f t="shared" si="55"/>
        <v>#DIV/0!</v>
      </c>
      <c r="AE186" s="393" t="e">
        <f t="shared" si="56"/>
        <v>#DIV/0!</v>
      </c>
      <c r="AF186" s="393" t="e">
        <f t="shared" si="57"/>
        <v>#DIV/0!</v>
      </c>
      <c r="AG186" s="393" t="e">
        <f t="shared" si="58"/>
        <v>#DIV/0!</v>
      </c>
      <c r="AH186" s="393" t="e">
        <f t="shared" si="59"/>
        <v>#DIV/0!</v>
      </c>
      <c r="AI186" s="393" t="e">
        <f t="shared" si="60"/>
        <v>#DIV/0!</v>
      </c>
      <c r="AJ186" s="393" t="e">
        <f t="shared" si="61"/>
        <v>#DIV/0!</v>
      </c>
      <c r="AK186" s="393" t="e">
        <f t="shared" si="62"/>
        <v>#DIV/0!</v>
      </c>
      <c r="AL186" s="393" t="e">
        <f t="shared" si="63"/>
        <v>#DIV/0!</v>
      </c>
      <c r="AM186" s="393" t="e">
        <f t="shared" si="64"/>
        <v>#DIV/0!</v>
      </c>
      <c r="AN186" s="393" t="e">
        <f t="shared" si="65"/>
        <v>#DIV/0!</v>
      </c>
      <c r="AO186" s="393" t="e">
        <f t="shared" si="66"/>
        <v>#DIV/0!</v>
      </c>
      <c r="AP186" s="393" t="e">
        <f t="shared" si="67"/>
        <v>#DIV/0!</v>
      </c>
      <c r="AQ186" s="393" t="e">
        <f t="shared" si="68"/>
        <v>#DIV/0!</v>
      </c>
      <c r="AR186" s="393" t="e">
        <f t="shared" si="69"/>
        <v>#DIV/0!</v>
      </c>
      <c r="AS186" s="393" t="e">
        <f t="shared" si="70"/>
        <v>#DIV/0!</v>
      </c>
      <c r="AT186" s="393" t="e">
        <f t="shared" si="71"/>
        <v>#DIV/0!</v>
      </c>
      <c r="AU186" s="393" t="e">
        <f t="shared" si="72"/>
        <v>#DIV/0!</v>
      </c>
      <c r="AV186" s="393" t="e">
        <f t="shared" si="73"/>
        <v>#DIV/0!</v>
      </c>
      <c r="AW186" s="393" t="e">
        <f t="shared" si="74"/>
        <v>#DIV/0!</v>
      </c>
      <c r="AX186" s="393">
        <f t="shared" si="75"/>
        <v>1.534</v>
      </c>
      <c r="AY186" s="393">
        <f t="shared" si="76"/>
        <v>-100</v>
      </c>
      <c r="AZ186" s="393" t="e">
        <f t="shared" si="77"/>
        <v>#DIV/0!</v>
      </c>
      <c r="BA186" s="393" t="e">
        <f t="shared" si="78"/>
        <v>#DIV/0!</v>
      </c>
      <c r="BB186" s="393" t="e">
        <f t="shared" si="79"/>
        <v>#DIV/0!</v>
      </c>
    </row>
    <row r="187" spans="1:54" x14ac:dyDescent="0.25">
      <c r="A187" s="361" t="s">
        <v>1576</v>
      </c>
      <c r="B187" s="480"/>
      <c r="C187" s="480"/>
      <c r="D187" s="480"/>
      <c r="E187" s="480"/>
      <c r="F187" s="480"/>
      <c r="G187" s="480"/>
      <c r="H187" s="480"/>
      <c r="I187" s="480"/>
      <c r="J187" s="480"/>
      <c r="K187" s="480"/>
      <c r="L187" s="480"/>
      <c r="M187" s="480"/>
      <c r="N187" s="480"/>
      <c r="O187" s="480"/>
      <c r="P187" s="480"/>
      <c r="Q187" s="480">
        <f>1107/1800</f>
        <v>0.61499999999999999</v>
      </c>
      <c r="R187" s="480">
        <f>1166/1800</f>
        <v>0.64780000000000004</v>
      </c>
      <c r="S187" s="480"/>
      <c r="T187" s="480"/>
      <c r="U187" s="480"/>
      <c r="V187" s="480"/>
      <c r="W187" s="480"/>
      <c r="X187" s="480"/>
      <c r="Y187" s="480"/>
      <c r="Z187" s="480"/>
      <c r="AA187" s="480"/>
      <c r="AB187" s="480"/>
      <c r="AC187" s="393" t="e">
        <f t="shared" si="54"/>
        <v>#DIV/0!</v>
      </c>
      <c r="AD187" s="393" t="e">
        <f t="shared" si="55"/>
        <v>#DIV/0!</v>
      </c>
      <c r="AE187" s="393" t="e">
        <f t="shared" si="56"/>
        <v>#DIV/0!</v>
      </c>
      <c r="AF187" s="393" t="e">
        <f t="shared" si="57"/>
        <v>#DIV/0!</v>
      </c>
      <c r="AG187" s="393" t="e">
        <f t="shared" si="58"/>
        <v>#DIV/0!</v>
      </c>
      <c r="AH187" s="393" t="e">
        <f t="shared" si="59"/>
        <v>#DIV/0!</v>
      </c>
      <c r="AI187" s="393" t="e">
        <f t="shared" si="60"/>
        <v>#DIV/0!</v>
      </c>
      <c r="AJ187" s="393" t="e">
        <f t="shared" si="61"/>
        <v>#DIV/0!</v>
      </c>
      <c r="AK187" s="393" t="e">
        <f t="shared" si="62"/>
        <v>#DIV/0!</v>
      </c>
      <c r="AL187" s="393" t="e">
        <f t="shared" si="63"/>
        <v>#DIV/0!</v>
      </c>
      <c r="AM187" s="393" t="e">
        <f t="shared" si="64"/>
        <v>#DIV/0!</v>
      </c>
      <c r="AN187" s="393" t="e">
        <f t="shared" si="65"/>
        <v>#DIV/0!</v>
      </c>
      <c r="AO187" s="393" t="e">
        <f t="shared" si="66"/>
        <v>#DIV/0!</v>
      </c>
      <c r="AP187" s="393" t="e">
        <f t="shared" si="67"/>
        <v>#DIV/0!</v>
      </c>
      <c r="AQ187" s="393" t="e">
        <f t="shared" si="68"/>
        <v>#DIV/0!</v>
      </c>
      <c r="AR187" s="393">
        <f t="shared" si="69"/>
        <v>5.3330000000000002</v>
      </c>
      <c r="AS187" s="393">
        <f t="shared" si="70"/>
        <v>-100</v>
      </c>
      <c r="AT187" s="393" t="e">
        <f t="shared" si="71"/>
        <v>#DIV/0!</v>
      </c>
      <c r="AU187" s="393" t="e">
        <f t="shared" si="72"/>
        <v>#DIV/0!</v>
      </c>
      <c r="AV187" s="393" t="e">
        <f t="shared" si="73"/>
        <v>#DIV/0!</v>
      </c>
      <c r="AW187" s="393" t="e">
        <f t="shared" si="74"/>
        <v>#DIV/0!</v>
      </c>
      <c r="AX187" s="393" t="e">
        <f t="shared" si="75"/>
        <v>#DIV/0!</v>
      </c>
      <c r="AY187" s="393" t="e">
        <f t="shared" si="76"/>
        <v>#DIV/0!</v>
      </c>
      <c r="AZ187" s="393" t="e">
        <f t="shared" si="77"/>
        <v>#DIV/0!</v>
      </c>
      <c r="BA187" s="393" t="e">
        <f t="shared" si="78"/>
        <v>#DIV/0!</v>
      </c>
      <c r="BB187" s="393" t="e">
        <f t="shared" si="79"/>
        <v>#DIV/0!</v>
      </c>
    </row>
    <row r="188" spans="1:54" x14ac:dyDescent="0.25">
      <c r="A188" s="361" t="s">
        <v>2242</v>
      </c>
      <c r="B188" s="480"/>
      <c r="C188" s="480"/>
      <c r="D188" s="480"/>
      <c r="E188" s="480"/>
      <c r="F188" s="480">
        <f>660/1200</f>
        <v>0.55000000000000004</v>
      </c>
      <c r="G188" s="480">
        <f>1383/2400</f>
        <v>0.57630000000000003</v>
      </c>
      <c r="H188" s="480">
        <f>660/1200</f>
        <v>0.55000000000000004</v>
      </c>
      <c r="I188" s="480"/>
      <c r="J188" s="480"/>
      <c r="K188" s="480"/>
      <c r="L188" s="480"/>
      <c r="M188" s="480"/>
      <c r="N188" s="480"/>
      <c r="O188" s="480"/>
      <c r="P188" s="480">
        <f>952/1800</f>
        <v>0.52890000000000004</v>
      </c>
      <c r="Q188" s="480"/>
      <c r="R188" s="480"/>
      <c r="S188" s="480"/>
      <c r="T188" s="480"/>
      <c r="U188" s="480"/>
      <c r="V188" s="480"/>
      <c r="W188" s="480"/>
      <c r="X188" s="480"/>
      <c r="Y188" s="480"/>
      <c r="Z188" s="480"/>
      <c r="AA188" s="480"/>
      <c r="AB188" s="480"/>
      <c r="AC188" s="393" t="e">
        <f t="shared" si="54"/>
        <v>#DIV/0!</v>
      </c>
      <c r="AD188" s="393" t="e">
        <f t="shared" si="55"/>
        <v>#DIV/0!</v>
      </c>
      <c r="AE188" s="393" t="e">
        <f t="shared" si="56"/>
        <v>#DIV/0!</v>
      </c>
      <c r="AF188" s="393" t="e">
        <f t="shared" si="57"/>
        <v>#DIV/0!</v>
      </c>
      <c r="AG188" s="393">
        <f t="shared" si="58"/>
        <v>4.782</v>
      </c>
      <c r="AH188" s="393">
        <f t="shared" si="59"/>
        <v>-4.5640000000000001</v>
      </c>
      <c r="AI188" s="393">
        <f t="shared" si="60"/>
        <v>-100</v>
      </c>
      <c r="AJ188" s="393" t="e">
        <f t="shared" si="61"/>
        <v>#DIV/0!</v>
      </c>
      <c r="AK188" s="393" t="e">
        <f t="shared" si="62"/>
        <v>#DIV/0!</v>
      </c>
      <c r="AL188" s="393" t="e">
        <f t="shared" si="63"/>
        <v>#DIV/0!</v>
      </c>
      <c r="AM188" s="393" t="e">
        <f t="shared" si="64"/>
        <v>#DIV/0!</v>
      </c>
      <c r="AN188" s="393" t="e">
        <f t="shared" si="65"/>
        <v>#DIV/0!</v>
      </c>
      <c r="AO188" s="393" t="e">
        <f t="shared" si="66"/>
        <v>#DIV/0!</v>
      </c>
      <c r="AP188" s="393" t="e">
        <f t="shared" si="67"/>
        <v>#DIV/0!</v>
      </c>
      <c r="AQ188" s="393">
        <f t="shared" si="68"/>
        <v>-100</v>
      </c>
      <c r="AR188" s="393" t="e">
        <f t="shared" si="69"/>
        <v>#DIV/0!</v>
      </c>
      <c r="AS188" s="393" t="e">
        <f t="shared" si="70"/>
        <v>#DIV/0!</v>
      </c>
      <c r="AT188" s="393" t="e">
        <f t="shared" si="71"/>
        <v>#DIV/0!</v>
      </c>
      <c r="AU188" s="393" t="e">
        <f t="shared" si="72"/>
        <v>#DIV/0!</v>
      </c>
      <c r="AV188" s="393" t="e">
        <f t="shared" si="73"/>
        <v>#DIV/0!</v>
      </c>
      <c r="AW188" s="393" t="e">
        <f t="shared" si="74"/>
        <v>#DIV/0!</v>
      </c>
      <c r="AX188" s="393" t="e">
        <f t="shared" si="75"/>
        <v>#DIV/0!</v>
      </c>
      <c r="AY188" s="393" t="e">
        <f t="shared" si="76"/>
        <v>#DIV/0!</v>
      </c>
      <c r="AZ188" s="393" t="e">
        <f t="shared" si="77"/>
        <v>#DIV/0!</v>
      </c>
      <c r="BA188" s="393" t="e">
        <f t="shared" si="78"/>
        <v>#DIV/0!</v>
      </c>
      <c r="BB188" s="393" t="e">
        <f t="shared" si="79"/>
        <v>#DIV/0!</v>
      </c>
    </row>
    <row r="189" spans="1:54" x14ac:dyDescent="0.25">
      <c r="A189" s="565" t="s">
        <v>1908</v>
      </c>
      <c r="B189" s="480">
        <f>965/1800</f>
        <v>0.53610000000000002</v>
      </c>
      <c r="C189" s="480">
        <f>1058/1800</f>
        <v>0.58779999999999999</v>
      </c>
      <c r="D189" s="480"/>
      <c r="E189" s="480"/>
      <c r="F189" s="480"/>
      <c r="G189" s="480"/>
      <c r="H189" s="480"/>
      <c r="I189" s="480"/>
      <c r="J189" s="480"/>
      <c r="K189" s="480"/>
      <c r="L189" s="480"/>
      <c r="M189" s="480"/>
      <c r="N189" s="480"/>
      <c r="O189" s="480"/>
      <c r="P189" s="480"/>
      <c r="Q189" s="480"/>
      <c r="R189" s="480"/>
      <c r="S189" s="480"/>
      <c r="T189" s="480"/>
      <c r="U189" s="480"/>
      <c r="V189" s="480"/>
      <c r="W189" s="480"/>
      <c r="X189" s="480"/>
      <c r="Y189" s="480"/>
      <c r="Z189" s="480"/>
      <c r="AA189" s="480"/>
      <c r="AB189" s="480"/>
      <c r="AC189" s="393">
        <f t="shared" si="54"/>
        <v>9.6440000000000001</v>
      </c>
      <c r="AD189" s="393">
        <f t="shared" si="55"/>
        <v>-100</v>
      </c>
      <c r="AE189" s="393" t="e">
        <f t="shared" si="56"/>
        <v>#DIV/0!</v>
      </c>
      <c r="AF189" s="393" t="e">
        <f t="shared" si="57"/>
        <v>#DIV/0!</v>
      </c>
      <c r="AG189" s="393" t="e">
        <f t="shared" si="58"/>
        <v>#DIV/0!</v>
      </c>
      <c r="AH189" s="393" t="e">
        <f t="shared" si="59"/>
        <v>#DIV/0!</v>
      </c>
      <c r="AI189" s="393" t="e">
        <f t="shared" si="60"/>
        <v>#DIV/0!</v>
      </c>
      <c r="AJ189" s="393" t="e">
        <f t="shared" si="61"/>
        <v>#DIV/0!</v>
      </c>
      <c r="AK189" s="393" t="e">
        <f t="shared" si="62"/>
        <v>#DIV/0!</v>
      </c>
      <c r="AL189" s="393" t="e">
        <f t="shared" si="63"/>
        <v>#DIV/0!</v>
      </c>
      <c r="AM189" s="393" t="e">
        <f t="shared" si="64"/>
        <v>#DIV/0!</v>
      </c>
      <c r="AN189" s="393" t="e">
        <f t="shared" si="65"/>
        <v>#DIV/0!</v>
      </c>
      <c r="AO189" s="393" t="e">
        <f t="shared" si="66"/>
        <v>#DIV/0!</v>
      </c>
      <c r="AP189" s="393" t="e">
        <f t="shared" si="67"/>
        <v>#DIV/0!</v>
      </c>
      <c r="AQ189" s="393" t="e">
        <f t="shared" si="68"/>
        <v>#DIV/0!</v>
      </c>
      <c r="AR189" s="393" t="e">
        <f t="shared" si="69"/>
        <v>#DIV/0!</v>
      </c>
      <c r="AS189" s="393" t="e">
        <f t="shared" si="70"/>
        <v>#DIV/0!</v>
      </c>
      <c r="AT189" s="393" t="e">
        <f t="shared" si="71"/>
        <v>#DIV/0!</v>
      </c>
      <c r="AU189" s="393" t="e">
        <f t="shared" si="72"/>
        <v>#DIV/0!</v>
      </c>
      <c r="AV189" s="393" t="e">
        <f t="shared" si="73"/>
        <v>#DIV/0!</v>
      </c>
      <c r="AW189" s="393" t="e">
        <f t="shared" si="74"/>
        <v>#DIV/0!</v>
      </c>
      <c r="AX189" s="393" t="e">
        <f t="shared" si="75"/>
        <v>#DIV/0!</v>
      </c>
      <c r="AY189" s="393" t="e">
        <f t="shared" si="76"/>
        <v>#DIV/0!</v>
      </c>
      <c r="AZ189" s="393" t="e">
        <f t="shared" si="77"/>
        <v>#DIV/0!</v>
      </c>
      <c r="BA189" s="393" t="e">
        <f t="shared" si="78"/>
        <v>#DIV/0!</v>
      </c>
      <c r="BB189" s="393" t="e">
        <f t="shared" si="79"/>
        <v>#DIV/0!</v>
      </c>
    </row>
    <row r="190" spans="1:54" x14ac:dyDescent="0.25">
      <c r="A190" s="361" t="s">
        <v>1589</v>
      </c>
      <c r="B190" s="480"/>
      <c r="C190" s="480"/>
      <c r="D190" s="480"/>
      <c r="E190" s="480"/>
      <c r="F190" s="480"/>
      <c r="G190" s="480"/>
      <c r="H190" s="480"/>
      <c r="I190" s="480"/>
      <c r="J190" s="480"/>
      <c r="K190" s="480"/>
      <c r="L190" s="480"/>
      <c r="M190" s="480"/>
      <c r="N190" s="480"/>
      <c r="O190" s="480"/>
      <c r="P190" s="480"/>
      <c r="Q190" s="480"/>
      <c r="R190" s="480">
        <f>1049/1800</f>
        <v>0.58279999999999998</v>
      </c>
      <c r="S190" s="480">
        <f>997/1800</f>
        <v>0.55389999999999995</v>
      </c>
      <c r="T190" s="480"/>
      <c r="U190" s="480"/>
      <c r="V190" s="480"/>
      <c r="W190" s="480"/>
      <c r="X190" s="480"/>
      <c r="Y190" s="480"/>
      <c r="Z190" s="480"/>
      <c r="AA190" s="480"/>
      <c r="AB190" s="480"/>
      <c r="AC190" s="393" t="e">
        <f t="shared" si="54"/>
        <v>#DIV/0!</v>
      </c>
      <c r="AD190" s="393" t="e">
        <f t="shared" si="55"/>
        <v>#DIV/0!</v>
      </c>
      <c r="AE190" s="393" t="e">
        <f t="shared" si="56"/>
        <v>#DIV/0!</v>
      </c>
      <c r="AF190" s="393" t="e">
        <f t="shared" si="57"/>
        <v>#DIV/0!</v>
      </c>
      <c r="AG190" s="393" t="e">
        <f t="shared" si="58"/>
        <v>#DIV/0!</v>
      </c>
      <c r="AH190" s="393" t="e">
        <f t="shared" si="59"/>
        <v>#DIV/0!</v>
      </c>
      <c r="AI190" s="393" t="e">
        <f t="shared" si="60"/>
        <v>#DIV/0!</v>
      </c>
      <c r="AJ190" s="393" t="e">
        <f t="shared" si="61"/>
        <v>#DIV/0!</v>
      </c>
      <c r="AK190" s="393" t="e">
        <f t="shared" si="62"/>
        <v>#DIV/0!</v>
      </c>
      <c r="AL190" s="393" t="e">
        <f t="shared" si="63"/>
        <v>#DIV/0!</v>
      </c>
      <c r="AM190" s="393" t="e">
        <f t="shared" si="64"/>
        <v>#DIV/0!</v>
      </c>
      <c r="AN190" s="393" t="e">
        <f t="shared" si="65"/>
        <v>#DIV/0!</v>
      </c>
      <c r="AO190" s="393" t="e">
        <f t="shared" si="66"/>
        <v>#DIV/0!</v>
      </c>
      <c r="AP190" s="393" t="e">
        <f t="shared" si="67"/>
        <v>#DIV/0!</v>
      </c>
      <c r="AQ190" s="393" t="e">
        <f t="shared" si="68"/>
        <v>#DIV/0!</v>
      </c>
      <c r="AR190" s="393" t="e">
        <f t="shared" si="69"/>
        <v>#DIV/0!</v>
      </c>
      <c r="AS190" s="393">
        <f t="shared" si="70"/>
        <v>-4.9589999999999996</v>
      </c>
      <c r="AT190" s="393">
        <f t="shared" si="71"/>
        <v>-100</v>
      </c>
      <c r="AU190" s="393" t="e">
        <f t="shared" si="72"/>
        <v>#DIV/0!</v>
      </c>
      <c r="AV190" s="393" t="e">
        <f t="shared" si="73"/>
        <v>#DIV/0!</v>
      </c>
      <c r="AW190" s="393" t="e">
        <f t="shared" si="74"/>
        <v>#DIV/0!</v>
      </c>
      <c r="AX190" s="393" t="e">
        <f t="shared" si="75"/>
        <v>#DIV/0!</v>
      </c>
      <c r="AY190" s="393" t="e">
        <f t="shared" si="76"/>
        <v>#DIV/0!</v>
      </c>
      <c r="AZ190" s="393" t="e">
        <f t="shared" si="77"/>
        <v>#DIV/0!</v>
      </c>
      <c r="BA190" s="393" t="e">
        <f t="shared" si="78"/>
        <v>#DIV/0!</v>
      </c>
      <c r="BB190" s="393" t="e">
        <f t="shared" si="79"/>
        <v>#DIV/0!</v>
      </c>
    </row>
    <row r="191" spans="1:54" x14ac:dyDescent="0.25">
      <c r="A191" s="361" t="s">
        <v>1596</v>
      </c>
      <c r="B191" s="480"/>
      <c r="C191" s="480"/>
      <c r="D191" s="480"/>
      <c r="E191" s="480"/>
      <c r="F191" s="480"/>
      <c r="G191" s="480"/>
      <c r="H191" s="480"/>
      <c r="I191" s="480"/>
      <c r="J191" s="480"/>
      <c r="K191" s="480"/>
      <c r="L191" s="480"/>
      <c r="M191" s="480"/>
      <c r="N191" s="480"/>
      <c r="O191" s="480"/>
      <c r="P191" s="480"/>
      <c r="Q191" s="480"/>
      <c r="R191" s="480">
        <f>985/1800</f>
        <v>0.54720000000000002</v>
      </c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393" t="e">
        <f t="shared" si="54"/>
        <v>#DIV/0!</v>
      </c>
      <c r="AD191" s="393" t="e">
        <f t="shared" si="55"/>
        <v>#DIV/0!</v>
      </c>
      <c r="AE191" s="393" t="e">
        <f t="shared" si="56"/>
        <v>#DIV/0!</v>
      </c>
      <c r="AF191" s="393" t="e">
        <f t="shared" si="57"/>
        <v>#DIV/0!</v>
      </c>
      <c r="AG191" s="393" t="e">
        <f t="shared" si="58"/>
        <v>#DIV/0!</v>
      </c>
      <c r="AH191" s="393" t="e">
        <f t="shared" si="59"/>
        <v>#DIV/0!</v>
      </c>
      <c r="AI191" s="393" t="e">
        <f t="shared" si="60"/>
        <v>#DIV/0!</v>
      </c>
      <c r="AJ191" s="393" t="e">
        <f t="shared" si="61"/>
        <v>#DIV/0!</v>
      </c>
      <c r="AK191" s="393" t="e">
        <f t="shared" si="62"/>
        <v>#DIV/0!</v>
      </c>
      <c r="AL191" s="393" t="e">
        <f t="shared" si="63"/>
        <v>#DIV/0!</v>
      </c>
      <c r="AM191" s="393" t="e">
        <f t="shared" si="64"/>
        <v>#DIV/0!</v>
      </c>
      <c r="AN191" s="393" t="e">
        <f t="shared" si="65"/>
        <v>#DIV/0!</v>
      </c>
      <c r="AO191" s="393" t="e">
        <f t="shared" si="66"/>
        <v>#DIV/0!</v>
      </c>
      <c r="AP191" s="393" t="e">
        <f t="shared" si="67"/>
        <v>#DIV/0!</v>
      </c>
      <c r="AQ191" s="393" t="e">
        <f t="shared" si="68"/>
        <v>#DIV/0!</v>
      </c>
      <c r="AR191" s="393" t="e">
        <f t="shared" si="69"/>
        <v>#DIV/0!</v>
      </c>
      <c r="AS191" s="393">
        <f t="shared" si="70"/>
        <v>-100</v>
      </c>
      <c r="AT191" s="393" t="e">
        <f t="shared" si="71"/>
        <v>#DIV/0!</v>
      </c>
      <c r="AU191" s="393" t="e">
        <f t="shared" si="72"/>
        <v>#DIV/0!</v>
      </c>
      <c r="AV191" s="393" t="e">
        <f t="shared" si="73"/>
        <v>#DIV/0!</v>
      </c>
      <c r="AW191" s="393" t="e">
        <f t="shared" si="74"/>
        <v>#DIV/0!</v>
      </c>
      <c r="AX191" s="393" t="e">
        <f t="shared" si="75"/>
        <v>#DIV/0!</v>
      </c>
      <c r="AY191" s="393" t="e">
        <f t="shared" si="76"/>
        <v>#DIV/0!</v>
      </c>
      <c r="AZ191" s="393" t="e">
        <f t="shared" si="77"/>
        <v>#DIV/0!</v>
      </c>
      <c r="BA191" s="393" t="e">
        <f t="shared" si="78"/>
        <v>#DIV/0!</v>
      </c>
      <c r="BB191" s="393" t="e">
        <f t="shared" si="79"/>
        <v>#DIV/0!</v>
      </c>
    </row>
    <row r="192" spans="1:54" x14ac:dyDescent="0.25">
      <c r="A192" s="361" t="s">
        <v>1608</v>
      </c>
      <c r="B192" s="480"/>
      <c r="C192" s="480"/>
      <c r="D192" s="480"/>
      <c r="E192" s="480"/>
      <c r="F192" s="480"/>
      <c r="G192" s="480"/>
      <c r="H192" s="480"/>
      <c r="I192" s="480"/>
      <c r="J192" s="480"/>
      <c r="K192" s="480"/>
      <c r="L192" s="480"/>
      <c r="M192" s="480"/>
      <c r="N192" s="480"/>
      <c r="O192" s="480"/>
      <c r="P192" s="480"/>
      <c r="Q192" s="480"/>
      <c r="R192" s="480"/>
      <c r="S192" s="480">
        <f>1041/1800</f>
        <v>0.57830000000000004</v>
      </c>
      <c r="T192" s="480"/>
      <c r="U192" s="480"/>
      <c r="V192" s="480"/>
      <c r="W192" s="480"/>
      <c r="X192" s="480"/>
      <c r="Y192" s="480"/>
      <c r="Z192" s="480"/>
      <c r="AA192" s="480"/>
      <c r="AB192" s="480"/>
      <c r="AC192" s="393" t="e">
        <f t="shared" si="54"/>
        <v>#DIV/0!</v>
      </c>
      <c r="AD192" s="393" t="e">
        <f t="shared" si="55"/>
        <v>#DIV/0!</v>
      </c>
      <c r="AE192" s="393" t="e">
        <f t="shared" si="56"/>
        <v>#DIV/0!</v>
      </c>
      <c r="AF192" s="393" t="e">
        <f t="shared" si="57"/>
        <v>#DIV/0!</v>
      </c>
      <c r="AG192" s="393" t="e">
        <f t="shared" si="58"/>
        <v>#DIV/0!</v>
      </c>
      <c r="AH192" s="393" t="e">
        <f t="shared" si="59"/>
        <v>#DIV/0!</v>
      </c>
      <c r="AI192" s="393" t="e">
        <f t="shared" si="60"/>
        <v>#DIV/0!</v>
      </c>
      <c r="AJ192" s="393" t="e">
        <f t="shared" si="61"/>
        <v>#DIV/0!</v>
      </c>
      <c r="AK192" s="393" t="e">
        <f t="shared" si="62"/>
        <v>#DIV/0!</v>
      </c>
      <c r="AL192" s="393" t="e">
        <f t="shared" si="63"/>
        <v>#DIV/0!</v>
      </c>
      <c r="AM192" s="393" t="e">
        <f t="shared" si="64"/>
        <v>#DIV/0!</v>
      </c>
      <c r="AN192" s="393" t="e">
        <f t="shared" si="65"/>
        <v>#DIV/0!</v>
      </c>
      <c r="AO192" s="393" t="e">
        <f t="shared" si="66"/>
        <v>#DIV/0!</v>
      </c>
      <c r="AP192" s="393" t="e">
        <f t="shared" si="67"/>
        <v>#DIV/0!</v>
      </c>
      <c r="AQ192" s="393" t="e">
        <f t="shared" si="68"/>
        <v>#DIV/0!</v>
      </c>
      <c r="AR192" s="393" t="e">
        <f t="shared" si="69"/>
        <v>#DIV/0!</v>
      </c>
      <c r="AS192" s="393" t="e">
        <f t="shared" si="70"/>
        <v>#DIV/0!</v>
      </c>
      <c r="AT192" s="393">
        <f t="shared" si="71"/>
        <v>-100</v>
      </c>
      <c r="AU192" s="393" t="e">
        <f t="shared" si="72"/>
        <v>#DIV/0!</v>
      </c>
      <c r="AV192" s="393" t="e">
        <f t="shared" si="73"/>
        <v>#DIV/0!</v>
      </c>
      <c r="AW192" s="393" t="e">
        <f t="shared" si="74"/>
        <v>#DIV/0!</v>
      </c>
      <c r="AX192" s="393" t="e">
        <f t="shared" si="75"/>
        <v>#DIV/0!</v>
      </c>
      <c r="AY192" s="393" t="e">
        <f t="shared" si="76"/>
        <v>#DIV/0!</v>
      </c>
      <c r="AZ192" s="393" t="e">
        <f t="shared" si="77"/>
        <v>#DIV/0!</v>
      </c>
      <c r="BA192" s="393" t="e">
        <f t="shared" si="78"/>
        <v>#DIV/0!</v>
      </c>
      <c r="BB192" s="393" t="e">
        <f t="shared" si="79"/>
        <v>#DIV/0!</v>
      </c>
    </row>
    <row r="193" spans="1:54" x14ac:dyDescent="0.25">
      <c r="A193" s="361" t="s">
        <v>627</v>
      </c>
      <c r="B193" s="480"/>
      <c r="C193" s="480"/>
      <c r="D193" s="480"/>
      <c r="E193" s="480"/>
      <c r="F193" s="480"/>
      <c r="G193" s="480"/>
      <c r="H193" s="480"/>
      <c r="I193" s="480"/>
      <c r="J193" s="480"/>
      <c r="K193" s="480"/>
      <c r="L193" s="480"/>
      <c r="M193" s="480">
        <f>712/1200</f>
        <v>0.59330000000000005</v>
      </c>
      <c r="N193" s="480"/>
      <c r="O193" s="480"/>
      <c r="P193" s="480"/>
      <c r="Q193" s="480"/>
      <c r="R193" s="480"/>
      <c r="S193" s="480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393" t="e">
        <f t="shared" si="54"/>
        <v>#DIV/0!</v>
      </c>
      <c r="AD193" s="393" t="e">
        <f t="shared" si="55"/>
        <v>#DIV/0!</v>
      </c>
      <c r="AE193" s="393" t="e">
        <f t="shared" si="56"/>
        <v>#DIV/0!</v>
      </c>
      <c r="AF193" s="393" t="e">
        <f t="shared" si="57"/>
        <v>#DIV/0!</v>
      </c>
      <c r="AG193" s="393" t="e">
        <f t="shared" si="58"/>
        <v>#DIV/0!</v>
      </c>
      <c r="AH193" s="393" t="e">
        <f t="shared" si="59"/>
        <v>#DIV/0!</v>
      </c>
      <c r="AI193" s="393" t="e">
        <f t="shared" si="60"/>
        <v>#DIV/0!</v>
      </c>
      <c r="AJ193" s="393" t="e">
        <f t="shared" si="61"/>
        <v>#DIV/0!</v>
      </c>
      <c r="AK193" s="393" t="e">
        <f t="shared" si="62"/>
        <v>#DIV/0!</v>
      </c>
      <c r="AL193" s="393" t="e">
        <f t="shared" si="63"/>
        <v>#DIV/0!</v>
      </c>
      <c r="AM193" s="393" t="e">
        <f t="shared" si="64"/>
        <v>#DIV/0!</v>
      </c>
      <c r="AN193" s="393">
        <f t="shared" si="65"/>
        <v>-100</v>
      </c>
      <c r="AO193" s="393" t="e">
        <f t="shared" si="66"/>
        <v>#DIV/0!</v>
      </c>
      <c r="AP193" s="393" t="e">
        <f t="shared" si="67"/>
        <v>#DIV/0!</v>
      </c>
      <c r="AQ193" s="393" t="e">
        <f t="shared" si="68"/>
        <v>#DIV/0!</v>
      </c>
      <c r="AR193" s="393" t="e">
        <f t="shared" si="69"/>
        <v>#DIV/0!</v>
      </c>
      <c r="AS193" s="393" t="e">
        <f t="shared" si="70"/>
        <v>#DIV/0!</v>
      </c>
      <c r="AT193" s="393" t="e">
        <f t="shared" si="71"/>
        <v>#DIV/0!</v>
      </c>
      <c r="AU193" s="393" t="e">
        <f t="shared" si="72"/>
        <v>#DIV/0!</v>
      </c>
      <c r="AV193" s="393" t="e">
        <f t="shared" si="73"/>
        <v>#DIV/0!</v>
      </c>
      <c r="AW193" s="393" t="e">
        <f t="shared" si="74"/>
        <v>#DIV/0!</v>
      </c>
      <c r="AX193" s="393" t="e">
        <f t="shared" si="75"/>
        <v>#DIV/0!</v>
      </c>
      <c r="AY193" s="393" t="e">
        <f t="shared" si="76"/>
        <v>#DIV/0!</v>
      </c>
      <c r="AZ193" s="393" t="e">
        <f t="shared" si="77"/>
        <v>#DIV/0!</v>
      </c>
      <c r="BA193" s="393" t="e">
        <f t="shared" si="78"/>
        <v>#DIV/0!</v>
      </c>
      <c r="BB193" s="393" t="e">
        <f t="shared" si="79"/>
        <v>#DIV/0!</v>
      </c>
    </row>
    <row r="194" spans="1:54" x14ac:dyDescent="0.25">
      <c r="A194" s="355" t="s">
        <v>442</v>
      </c>
      <c r="B194" s="480"/>
      <c r="C194" s="480"/>
      <c r="D194" s="480"/>
      <c r="E194" s="480"/>
      <c r="F194" s="480"/>
      <c r="G194" s="480"/>
      <c r="H194" s="480"/>
      <c r="I194" s="480"/>
      <c r="J194" s="480"/>
      <c r="K194" s="480"/>
      <c r="L194" s="480">
        <f>823/1200</f>
        <v>0.68579999999999997</v>
      </c>
      <c r="M194" s="480"/>
      <c r="N194" s="480"/>
      <c r="O194" s="480"/>
      <c r="P194" s="480"/>
      <c r="Q194" s="480"/>
      <c r="R194" s="480"/>
      <c r="S194" s="480"/>
      <c r="T194" s="480"/>
      <c r="U194" s="480"/>
      <c r="V194" s="480"/>
      <c r="W194" s="480"/>
      <c r="X194" s="480"/>
      <c r="Y194" s="480"/>
      <c r="Z194" s="480"/>
      <c r="AA194" s="480"/>
      <c r="AB194" s="480"/>
      <c r="AC194" s="393" t="e">
        <f t="shared" si="54"/>
        <v>#DIV/0!</v>
      </c>
      <c r="AD194" s="393" t="e">
        <f t="shared" si="55"/>
        <v>#DIV/0!</v>
      </c>
      <c r="AE194" s="393" t="e">
        <f t="shared" si="56"/>
        <v>#DIV/0!</v>
      </c>
      <c r="AF194" s="393" t="e">
        <f t="shared" si="57"/>
        <v>#DIV/0!</v>
      </c>
      <c r="AG194" s="393" t="e">
        <f t="shared" si="58"/>
        <v>#DIV/0!</v>
      </c>
      <c r="AH194" s="393" t="e">
        <f t="shared" si="59"/>
        <v>#DIV/0!</v>
      </c>
      <c r="AI194" s="393" t="e">
        <f t="shared" si="60"/>
        <v>#DIV/0!</v>
      </c>
      <c r="AJ194" s="393" t="e">
        <f t="shared" si="61"/>
        <v>#DIV/0!</v>
      </c>
      <c r="AK194" s="393" t="e">
        <f t="shared" si="62"/>
        <v>#DIV/0!</v>
      </c>
      <c r="AL194" s="393" t="e">
        <f t="shared" si="63"/>
        <v>#DIV/0!</v>
      </c>
      <c r="AM194" s="393">
        <f t="shared" si="64"/>
        <v>-100</v>
      </c>
      <c r="AN194" s="393" t="e">
        <f t="shared" si="65"/>
        <v>#DIV/0!</v>
      </c>
      <c r="AO194" s="393" t="e">
        <f t="shared" si="66"/>
        <v>#DIV/0!</v>
      </c>
      <c r="AP194" s="393" t="e">
        <f t="shared" si="67"/>
        <v>#DIV/0!</v>
      </c>
      <c r="AQ194" s="393" t="e">
        <f t="shared" si="68"/>
        <v>#DIV/0!</v>
      </c>
      <c r="AR194" s="393" t="e">
        <f t="shared" si="69"/>
        <v>#DIV/0!</v>
      </c>
      <c r="AS194" s="393" t="e">
        <f t="shared" si="70"/>
        <v>#DIV/0!</v>
      </c>
      <c r="AT194" s="393" t="e">
        <f t="shared" si="71"/>
        <v>#DIV/0!</v>
      </c>
      <c r="AU194" s="393" t="e">
        <f t="shared" si="72"/>
        <v>#DIV/0!</v>
      </c>
      <c r="AV194" s="393" t="e">
        <f t="shared" si="73"/>
        <v>#DIV/0!</v>
      </c>
      <c r="AW194" s="393" t="e">
        <f t="shared" si="74"/>
        <v>#DIV/0!</v>
      </c>
      <c r="AX194" s="393" t="e">
        <f t="shared" si="75"/>
        <v>#DIV/0!</v>
      </c>
      <c r="AY194" s="393" t="e">
        <f t="shared" si="76"/>
        <v>#DIV/0!</v>
      </c>
      <c r="AZ194" s="393" t="e">
        <f t="shared" si="77"/>
        <v>#DIV/0!</v>
      </c>
      <c r="BA194" s="393" t="e">
        <f t="shared" si="78"/>
        <v>#DIV/0!</v>
      </c>
      <c r="BB194" s="393" t="e">
        <f t="shared" si="79"/>
        <v>#DIV/0!</v>
      </c>
    </row>
    <row r="195" spans="1:54" x14ac:dyDescent="0.25">
      <c r="A195" s="361" t="s">
        <v>4002</v>
      </c>
      <c r="B195" s="480"/>
      <c r="C195" s="480"/>
      <c r="D195" s="480"/>
      <c r="E195" s="480"/>
      <c r="F195" s="480"/>
      <c r="G195" s="480"/>
      <c r="H195" s="480"/>
      <c r="I195" s="480"/>
      <c r="J195" s="480"/>
      <c r="K195" s="480"/>
      <c r="L195" s="480"/>
      <c r="M195" s="480"/>
      <c r="N195" s="480"/>
      <c r="O195" s="480"/>
      <c r="P195" s="480"/>
      <c r="Q195" s="480"/>
      <c r="R195" s="480"/>
      <c r="S195" s="480"/>
      <c r="T195" s="480">
        <f>706/1200</f>
        <v>0.58830000000000005</v>
      </c>
      <c r="U195" s="480"/>
      <c r="V195" s="480"/>
      <c r="W195" s="480"/>
      <c r="X195" s="480"/>
      <c r="Y195" s="480"/>
      <c r="Z195" s="480"/>
      <c r="AA195" s="480"/>
      <c r="AB195" s="480"/>
      <c r="AC195" s="393" t="e">
        <f t="shared" si="54"/>
        <v>#DIV/0!</v>
      </c>
      <c r="AD195" s="393" t="e">
        <f t="shared" si="55"/>
        <v>#DIV/0!</v>
      </c>
      <c r="AE195" s="393" t="e">
        <f t="shared" si="56"/>
        <v>#DIV/0!</v>
      </c>
      <c r="AF195" s="393" t="e">
        <f t="shared" si="57"/>
        <v>#DIV/0!</v>
      </c>
      <c r="AG195" s="393" t="e">
        <f t="shared" si="58"/>
        <v>#DIV/0!</v>
      </c>
      <c r="AH195" s="393" t="e">
        <f t="shared" si="59"/>
        <v>#DIV/0!</v>
      </c>
      <c r="AI195" s="393" t="e">
        <f t="shared" si="60"/>
        <v>#DIV/0!</v>
      </c>
      <c r="AJ195" s="393" t="e">
        <f t="shared" si="61"/>
        <v>#DIV/0!</v>
      </c>
      <c r="AK195" s="393" t="e">
        <f t="shared" si="62"/>
        <v>#DIV/0!</v>
      </c>
      <c r="AL195" s="393" t="e">
        <f t="shared" si="63"/>
        <v>#DIV/0!</v>
      </c>
      <c r="AM195" s="393" t="e">
        <f t="shared" si="64"/>
        <v>#DIV/0!</v>
      </c>
      <c r="AN195" s="393" t="e">
        <f t="shared" si="65"/>
        <v>#DIV/0!</v>
      </c>
      <c r="AO195" s="393" t="e">
        <f t="shared" si="66"/>
        <v>#DIV/0!</v>
      </c>
      <c r="AP195" s="393" t="e">
        <f t="shared" si="67"/>
        <v>#DIV/0!</v>
      </c>
      <c r="AQ195" s="393" t="e">
        <f t="shared" si="68"/>
        <v>#DIV/0!</v>
      </c>
      <c r="AR195" s="393" t="e">
        <f t="shared" si="69"/>
        <v>#DIV/0!</v>
      </c>
      <c r="AS195" s="393" t="e">
        <f t="shared" si="70"/>
        <v>#DIV/0!</v>
      </c>
      <c r="AT195" s="393" t="e">
        <f t="shared" si="71"/>
        <v>#DIV/0!</v>
      </c>
      <c r="AU195" s="393">
        <f t="shared" si="72"/>
        <v>-100</v>
      </c>
      <c r="AV195" s="393" t="e">
        <f t="shared" si="73"/>
        <v>#DIV/0!</v>
      </c>
      <c r="AW195" s="393" t="e">
        <f t="shared" si="74"/>
        <v>#DIV/0!</v>
      </c>
      <c r="AX195" s="393" t="e">
        <f t="shared" si="75"/>
        <v>#DIV/0!</v>
      </c>
      <c r="AY195" s="393" t="e">
        <f t="shared" si="76"/>
        <v>#DIV/0!</v>
      </c>
      <c r="AZ195" s="393" t="e">
        <f t="shared" si="77"/>
        <v>#DIV/0!</v>
      </c>
      <c r="BA195" s="393" t="e">
        <f t="shared" si="78"/>
        <v>#DIV/0!</v>
      </c>
      <c r="BB195" s="393" t="e">
        <f t="shared" si="79"/>
        <v>#DIV/0!</v>
      </c>
    </row>
    <row r="196" spans="1:54" x14ac:dyDescent="0.25">
      <c r="A196" s="361" t="s">
        <v>2095</v>
      </c>
      <c r="B196" s="480"/>
      <c r="C196" s="480"/>
      <c r="D196" s="480"/>
      <c r="E196" s="480"/>
      <c r="F196" s="480"/>
      <c r="G196" s="480"/>
      <c r="H196" s="480"/>
      <c r="I196" s="480"/>
      <c r="J196" s="480"/>
      <c r="K196" s="480"/>
      <c r="L196" s="480"/>
      <c r="M196" s="480"/>
      <c r="N196" s="480"/>
      <c r="O196" s="480"/>
      <c r="P196" s="480"/>
      <c r="Q196" s="480">
        <f>1007/1800</f>
        <v>0.55940000000000001</v>
      </c>
      <c r="R196" s="480"/>
      <c r="S196" s="480"/>
      <c r="T196" s="480"/>
      <c r="U196" s="480"/>
      <c r="V196" s="480"/>
      <c r="W196" s="480"/>
      <c r="X196" s="480"/>
      <c r="Y196" s="480"/>
      <c r="Z196" s="480"/>
      <c r="AA196" s="480"/>
      <c r="AB196" s="480"/>
      <c r="AC196" s="393" t="e">
        <f t="shared" si="54"/>
        <v>#DIV/0!</v>
      </c>
      <c r="AD196" s="393" t="e">
        <f t="shared" si="55"/>
        <v>#DIV/0!</v>
      </c>
      <c r="AE196" s="393" t="e">
        <f t="shared" si="56"/>
        <v>#DIV/0!</v>
      </c>
      <c r="AF196" s="393" t="e">
        <f t="shared" si="57"/>
        <v>#DIV/0!</v>
      </c>
      <c r="AG196" s="393" t="e">
        <f t="shared" si="58"/>
        <v>#DIV/0!</v>
      </c>
      <c r="AH196" s="393" t="e">
        <f t="shared" si="59"/>
        <v>#DIV/0!</v>
      </c>
      <c r="AI196" s="393" t="e">
        <f t="shared" si="60"/>
        <v>#DIV/0!</v>
      </c>
      <c r="AJ196" s="393" t="e">
        <f t="shared" si="61"/>
        <v>#DIV/0!</v>
      </c>
      <c r="AK196" s="393" t="e">
        <f t="shared" si="62"/>
        <v>#DIV/0!</v>
      </c>
      <c r="AL196" s="393" t="e">
        <f t="shared" si="63"/>
        <v>#DIV/0!</v>
      </c>
      <c r="AM196" s="393" t="e">
        <f t="shared" si="64"/>
        <v>#DIV/0!</v>
      </c>
      <c r="AN196" s="393" t="e">
        <f t="shared" si="65"/>
        <v>#DIV/0!</v>
      </c>
      <c r="AO196" s="393" t="e">
        <f t="shared" si="66"/>
        <v>#DIV/0!</v>
      </c>
      <c r="AP196" s="393" t="e">
        <f t="shared" si="67"/>
        <v>#DIV/0!</v>
      </c>
      <c r="AQ196" s="393" t="e">
        <f t="shared" si="68"/>
        <v>#DIV/0!</v>
      </c>
      <c r="AR196" s="393">
        <f t="shared" si="69"/>
        <v>-100</v>
      </c>
      <c r="AS196" s="393" t="e">
        <f t="shared" si="70"/>
        <v>#DIV/0!</v>
      </c>
      <c r="AT196" s="393" t="e">
        <f t="shared" si="71"/>
        <v>#DIV/0!</v>
      </c>
      <c r="AU196" s="393" t="e">
        <f t="shared" si="72"/>
        <v>#DIV/0!</v>
      </c>
      <c r="AV196" s="393" t="e">
        <f t="shared" si="73"/>
        <v>#DIV/0!</v>
      </c>
      <c r="AW196" s="393" t="e">
        <f t="shared" si="74"/>
        <v>#DIV/0!</v>
      </c>
      <c r="AX196" s="393" t="e">
        <f t="shared" si="75"/>
        <v>#DIV/0!</v>
      </c>
      <c r="AY196" s="393" t="e">
        <f t="shared" si="76"/>
        <v>#DIV/0!</v>
      </c>
      <c r="AZ196" s="393" t="e">
        <f t="shared" si="77"/>
        <v>#DIV/0!</v>
      </c>
      <c r="BA196" s="393" t="e">
        <f t="shared" si="78"/>
        <v>#DIV/0!</v>
      </c>
      <c r="BB196" s="393" t="e">
        <f t="shared" si="79"/>
        <v>#DIV/0!</v>
      </c>
    </row>
    <row r="197" spans="1:54" x14ac:dyDescent="0.25">
      <c r="A197" s="361" t="s">
        <v>3298</v>
      </c>
      <c r="B197" s="480"/>
      <c r="C197" s="480"/>
      <c r="D197" s="480"/>
      <c r="E197" s="480"/>
      <c r="F197" s="480"/>
      <c r="G197" s="480"/>
      <c r="H197" s="480"/>
      <c r="I197" s="480">
        <f>732/1200</f>
        <v>0.61</v>
      </c>
      <c r="J197" s="480">
        <f>739/1200</f>
        <v>0.61580000000000001</v>
      </c>
      <c r="K197" s="480"/>
      <c r="L197" s="480"/>
      <c r="M197" s="480">
        <f>849/1200</f>
        <v>0.70750000000000002</v>
      </c>
      <c r="N197" s="480"/>
      <c r="O197" s="480"/>
      <c r="P197" s="480"/>
      <c r="Q197" s="480"/>
      <c r="R197" s="480"/>
      <c r="S197" s="480"/>
      <c r="T197" s="480"/>
      <c r="U197" s="480"/>
      <c r="V197" s="480"/>
      <c r="W197" s="480"/>
      <c r="X197" s="480"/>
      <c r="Y197" s="480"/>
      <c r="Z197" s="480"/>
      <c r="AA197" s="480"/>
      <c r="AB197" s="480"/>
      <c r="AC197" s="393" t="e">
        <f t="shared" ref="AC197:AC260" si="80">(+C197-B197)/B197*100</f>
        <v>#DIV/0!</v>
      </c>
      <c r="AD197" s="393" t="e">
        <f t="shared" ref="AD197:AD260" si="81">(+D197-C197)/C197*100</f>
        <v>#DIV/0!</v>
      </c>
      <c r="AE197" s="393" t="e">
        <f t="shared" ref="AE197:AE260" si="82">(+E197-D197)/D197*100</f>
        <v>#DIV/0!</v>
      </c>
      <c r="AF197" s="393" t="e">
        <f t="shared" ref="AF197:AF260" si="83">(+F197-E197)/E197*100</f>
        <v>#DIV/0!</v>
      </c>
      <c r="AG197" s="393" t="e">
        <f t="shared" ref="AG197:AG260" si="84">(+G197-F197)/F197*100</f>
        <v>#DIV/0!</v>
      </c>
      <c r="AH197" s="393" t="e">
        <f t="shared" ref="AH197:AH260" si="85">(+H197-G197)/G197*100</f>
        <v>#DIV/0!</v>
      </c>
      <c r="AI197" s="393" t="e">
        <f t="shared" ref="AI197:AI260" si="86">(+I197-H197)/H197*100</f>
        <v>#DIV/0!</v>
      </c>
      <c r="AJ197" s="393">
        <f t="shared" ref="AJ197:AJ260" si="87">(+J197-I197)/I197*100</f>
        <v>0.95099999999999996</v>
      </c>
      <c r="AK197" s="393">
        <f t="shared" ref="AK197:AK260" si="88">(+K197-J197)/J197*100</f>
        <v>-100</v>
      </c>
      <c r="AL197" s="393" t="e">
        <f t="shared" ref="AL197:AL260" si="89">(+L197-K197)/K197*100</f>
        <v>#DIV/0!</v>
      </c>
      <c r="AM197" s="393" t="e">
        <f t="shared" ref="AM197:AM260" si="90">(+M197-L197)/L197*100</f>
        <v>#DIV/0!</v>
      </c>
      <c r="AN197" s="393">
        <f t="shared" ref="AN197:AN260" si="91">(+N197-M197)/M197*100</f>
        <v>-100</v>
      </c>
      <c r="AO197" s="393" t="e">
        <f t="shared" ref="AO197:AO260" si="92">(+O197-N197)/N197*100</f>
        <v>#DIV/0!</v>
      </c>
      <c r="AP197" s="393" t="e">
        <f t="shared" ref="AP197:AP260" si="93">(+P197-O197)/O197*100</f>
        <v>#DIV/0!</v>
      </c>
      <c r="AQ197" s="393" t="e">
        <f t="shared" ref="AQ197:AQ260" si="94">(+Q197-P197)/P197*100</f>
        <v>#DIV/0!</v>
      </c>
      <c r="AR197" s="393" t="e">
        <f t="shared" ref="AR197:AR260" si="95">(+R197-Q197)/Q197*100</f>
        <v>#DIV/0!</v>
      </c>
      <c r="AS197" s="393" t="e">
        <f t="shared" ref="AS197:AS260" si="96">(+S197-R197)/R197*100</f>
        <v>#DIV/0!</v>
      </c>
      <c r="AT197" s="393" t="e">
        <f t="shared" ref="AT197:AT260" si="97">(+T197-S197)/S197*100</f>
        <v>#DIV/0!</v>
      </c>
      <c r="AU197" s="393" t="e">
        <f t="shared" ref="AU197:AU260" si="98">(+U197-T197)/T197*100</f>
        <v>#DIV/0!</v>
      </c>
      <c r="AV197" s="393" t="e">
        <f t="shared" ref="AV197:AV260" si="99">(+V197-U197)/U197*100</f>
        <v>#DIV/0!</v>
      </c>
      <c r="AW197" s="393" t="e">
        <f t="shared" ref="AW197:AW260" si="100">(+W197-V197)/V197*100</f>
        <v>#DIV/0!</v>
      </c>
      <c r="AX197" s="393" t="e">
        <f t="shared" ref="AX197:AX260" si="101">(+X197-W197)/W197*100</f>
        <v>#DIV/0!</v>
      </c>
      <c r="AY197" s="393" t="e">
        <f t="shared" ref="AY197:AY260" si="102">(+Y197-X197)/X197*100</f>
        <v>#DIV/0!</v>
      </c>
      <c r="AZ197" s="393" t="e">
        <f t="shared" ref="AZ197:AZ260" si="103">(+Z197-Y197)/Y197*100</f>
        <v>#DIV/0!</v>
      </c>
      <c r="BA197" s="393" t="e">
        <f t="shared" ref="BA197:BA260" si="104">(+AA197-Z197)/Z197*100</f>
        <v>#DIV/0!</v>
      </c>
      <c r="BB197" s="393" t="e">
        <f t="shared" ref="BB197:BB260" si="105">(+AB197-AA197)/AA197*100</f>
        <v>#DIV/0!</v>
      </c>
    </row>
    <row r="198" spans="1:54" x14ac:dyDescent="0.25">
      <c r="A198" s="360" t="s">
        <v>2239</v>
      </c>
      <c r="B198" s="480"/>
      <c r="C198" s="480"/>
      <c r="D198" s="480"/>
      <c r="E198" s="480"/>
      <c r="F198" s="480">
        <f>750/1200</f>
        <v>0.625</v>
      </c>
      <c r="G198" s="480"/>
      <c r="H198" s="480"/>
      <c r="I198" s="480"/>
      <c r="J198" s="480"/>
      <c r="K198" s="480"/>
      <c r="L198" s="480"/>
      <c r="M198" s="480"/>
      <c r="N198" s="480"/>
      <c r="O198" s="480"/>
      <c r="P198" s="480"/>
      <c r="Q198" s="480"/>
      <c r="R198" s="480"/>
      <c r="S198" s="480"/>
      <c r="T198" s="480"/>
      <c r="U198" s="480"/>
      <c r="V198" s="480"/>
      <c r="W198" s="480"/>
      <c r="X198" s="480"/>
      <c r="Y198" s="480"/>
      <c r="Z198" s="480"/>
      <c r="AA198" s="480"/>
      <c r="AB198" s="480"/>
      <c r="AC198" s="393" t="e">
        <f t="shared" si="80"/>
        <v>#DIV/0!</v>
      </c>
      <c r="AD198" s="393" t="e">
        <f t="shared" si="81"/>
        <v>#DIV/0!</v>
      </c>
      <c r="AE198" s="393" t="e">
        <f t="shared" si="82"/>
        <v>#DIV/0!</v>
      </c>
      <c r="AF198" s="393" t="e">
        <f t="shared" si="83"/>
        <v>#DIV/0!</v>
      </c>
      <c r="AG198" s="393">
        <f t="shared" si="84"/>
        <v>-100</v>
      </c>
      <c r="AH198" s="393" t="e">
        <f t="shared" si="85"/>
        <v>#DIV/0!</v>
      </c>
      <c r="AI198" s="393" t="e">
        <f t="shared" si="86"/>
        <v>#DIV/0!</v>
      </c>
      <c r="AJ198" s="393" t="e">
        <f t="shared" si="87"/>
        <v>#DIV/0!</v>
      </c>
      <c r="AK198" s="393" t="e">
        <f t="shared" si="88"/>
        <v>#DIV/0!</v>
      </c>
      <c r="AL198" s="393" t="e">
        <f t="shared" si="89"/>
        <v>#DIV/0!</v>
      </c>
      <c r="AM198" s="393" t="e">
        <f t="shared" si="90"/>
        <v>#DIV/0!</v>
      </c>
      <c r="AN198" s="393" t="e">
        <f t="shared" si="91"/>
        <v>#DIV/0!</v>
      </c>
      <c r="AO198" s="393" t="e">
        <f t="shared" si="92"/>
        <v>#DIV/0!</v>
      </c>
      <c r="AP198" s="393" t="e">
        <f t="shared" si="93"/>
        <v>#DIV/0!</v>
      </c>
      <c r="AQ198" s="393" t="e">
        <f t="shared" si="94"/>
        <v>#DIV/0!</v>
      </c>
      <c r="AR198" s="393" t="e">
        <f t="shared" si="95"/>
        <v>#DIV/0!</v>
      </c>
      <c r="AS198" s="393" t="e">
        <f t="shared" si="96"/>
        <v>#DIV/0!</v>
      </c>
      <c r="AT198" s="393" t="e">
        <f t="shared" si="97"/>
        <v>#DIV/0!</v>
      </c>
      <c r="AU198" s="393" t="e">
        <f t="shared" si="98"/>
        <v>#DIV/0!</v>
      </c>
      <c r="AV198" s="393" t="e">
        <f t="shared" si="99"/>
        <v>#DIV/0!</v>
      </c>
      <c r="AW198" s="393" t="e">
        <f t="shared" si="100"/>
        <v>#DIV/0!</v>
      </c>
      <c r="AX198" s="393" t="e">
        <f t="shared" si="101"/>
        <v>#DIV/0!</v>
      </c>
      <c r="AY198" s="393" t="e">
        <f t="shared" si="102"/>
        <v>#DIV/0!</v>
      </c>
      <c r="AZ198" s="393" t="e">
        <f t="shared" si="103"/>
        <v>#DIV/0!</v>
      </c>
      <c r="BA198" s="393" t="e">
        <f t="shared" si="104"/>
        <v>#DIV/0!</v>
      </c>
      <c r="BB198" s="393" t="e">
        <f t="shared" si="105"/>
        <v>#DIV/0!</v>
      </c>
    </row>
    <row r="199" spans="1:54" x14ac:dyDescent="0.25">
      <c r="A199" s="361" t="s">
        <v>1606</v>
      </c>
      <c r="B199" s="480"/>
      <c r="C199" s="480"/>
      <c r="D199" s="480"/>
      <c r="E199" s="480"/>
      <c r="F199" s="480"/>
      <c r="G199" s="480"/>
      <c r="H199" s="480"/>
      <c r="I199" s="480"/>
      <c r="J199" s="480"/>
      <c r="K199" s="480"/>
      <c r="L199" s="480"/>
      <c r="M199" s="480"/>
      <c r="N199" s="480"/>
      <c r="O199" s="480"/>
      <c r="P199" s="480"/>
      <c r="Q199" s="480"/>
      <c r="R199" s="480"/>
      <c r="S199" s="480">
        <f>1078/1800</f>
        <v>0.59889999999999999</v>
      </c>
      <c r="T199" s="480">
        <f>703/1200</f>
        <v>0.58579999999999999</v>
      </c>
      <c r="U199" s="480">
        <f>1157/1800</f>
        <v>0.64280000000000004</v>
      </c>
      <c r="V199" s="480"/>
      <c r="W199" s="480"/>
      <c r="X199" s="480"/>
      <c r="Y199" s="480"/>
      <c r="Z199" s="480"/>
      <c r="AA199" s="480"/>
      <c r="AB199" s="480"/>
      <c r="AC199" s="393" t="e">
        <f t="shared" si="80"/>
        <v>#DIV/0!</v>
      </c>
      <c r="AD199" s="393" t="e">
        <f t="shared" si="81"/>
        <v>#DIV/0!</v>
      </c>
      <c r="AE199" s="393" t="e">
        <f t="shared" si="82"/>
        <v>#DIV/0!</v>
      </c>
      <c r="AF199" s="393" t="e">
        <f t="shared" si="83"/>
        <v>#DIV/0!</v>
      </c>
      <c r="AG199" s="393" t="e">
        <f t="shared" si="84"/>
        <v>#DIV/0!</v>
      </c>
      <c r="AH199" s="393" t="e">
        <f t="shared" si="85"/>
        <v>#DIV/0!</v>
      </c>
      <c r="AI199" s="393" t="e">
        <f t="shared" si="86"/>
        <v>#DIV/0!</v>
      </c>
      <c r="AJ199" s="393" t="e">
        <f t="shared" si="87"/>
        <v>#DIV/0!</v>
      </c>
      <c r="AK199" s="393" t="e">
        <f t="shared" si="88"/>
        <v>#DIV/0!</v>
      </c>
      <c r="AL199" s="393" t="e">
        <f t="shared" si="89"/>
        <v>#DIV/0!</v>
      </c>
      <c r="AM199" s="393" t="e">
        <f t="shared" si="90"/>
        <v>#DIV/0!</v>
      </c>
      <c r="AN199" s="393" t="e">
        <f t="shared" si="91"/>
        <v>#DIV/0!</v>
      </c>
      <c r="AO199" s="393" t="e">
        <f t="shared" si="92"/>
        <v>#DIV/0!</v>
      </c>
      <c r="AP199" s="393" t="e">
        <f t="shared" si="93"/>
        <v>#DIV/0!</v>
      </c>
      <c r="AQ199" s="393" t="e">
        <f t="shared" si="94"/>
        <v>#DIV/0!</v>
      </c>
      <c r="AR199" s="393" t="e">
        <f t="shared" si="95"/>
        <v>#DIV/0!</v>
      </c>
      <c r="AS199" s="393" t="e">
        <f t="shared" si="96"/>
        <v>#DIV/0!</v>
      </c>
      <c r="AT199" s="393">
        <f t="shared" si="97"/>
        <v>-2.1869999999999998</v>
      </c>
      <c r="AU199" s="393">
        <f t="shared" si="98"/>
        <v>9.73</v>
      </c>
      <c r="AV199" s="393">
        <f t="shared" si="99"/>
        <v>-100</v>
      </c>
      <c r="AW199" s="393" t="e">
        <f t="shared" si="100"/>
        <v>#DIV/0!</v>
      </c>
      <c r="AX199" s="393" t="e">
        <f t="shared" si="101"/>
        <v>#DIV/0!</v>
      </c>
      <c r="AY199" s="393" t="e">
        <f t="shared" si="102"/>
        <v>#DIV/0!</v>
      </c>
      <c r="AZ199" s="393" t="e">
        <f t="shared" si="103"/>
        <v>#DIV/0!</v>
      </c>
      <c r="BA199" s="393" t="e">
        <f t="shared" si="104"/>
        <v>#DIV/0!</v>
      </c>
      <c r="BB199" s="393" t="e">
        <f t="shared" si="105"/>
        <v>#DIV/0!</v>
      </c>
    </row>
    <row r="200" spans="1:54" x14ac:dyDescent="0.25">
      <c r="A200" s="361" t="s">
        <v>631</v>
      </c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0">
        <f>633/1200</f>
        <v>0.52749999999999997</v>
      </c>
      <c r="N200" s="480"/>
      <c r="O200" s="480"/>
      <c r="P200" s="480"/>
      <c r="Q200" s="480"/>
      <c r="R200" s="480"/>
      <c r="S200" s="480"/>
      <c r="T200" s="480"/>
      <c r="U200" s="480"/>
      <c r="V200" s="480"/>
      <c r="W200" s="480"/>
      <c r="X200" s="480"/>
      <c r="Y200" s="480"/>
      <c r="Z200" s="480"/>
      <c r="AA200" s="480"/>
      <c r="AB200" s="480"/>
      <c r="AC200" s="393" t="e">
        <f t="shared" si="80"/>
        <v>#DIV/0!</v>
      </c>
      <c r="AD200" s="393" t="e">
        <f t="shared" si="81"/>
        <v>#DIV/0!</v>
      </c>
      <c r="AE200" s="393" t="e">
        <f t="shared" si="82"/>
        <v>#DIV/0!</v>
      </c>
      <c r="AF200" s="393" t="e">
        <f t="shared" si="83"/>
        <v>#DIV/0!</v>
      </c>
      <c r="AG200" s="393" t="e">
        <f t="shared" si="84"/>
        <v>#DIV/0!</v>
      </c>
      <c r="AH200" s="393" t="e">
        <f t="shared" si="85"/>
        <v>#DIV/0!</v>
      </c>
      <c r="AI200" s="393" t="e">
        <f t="shared" si="86"/>
        <v>#DIV/0!</v>
      </c>
      <c r="AJ200" s="393" t="e">
        <f t="shared" si="87"/>
        <v>#DIV/0!</v>
      </c>
      <c r="AK200" s="393" t="e">
        <f t="shared" si="88"/>
        <v>#DIV/0!</v>
      </c>
      <c r="AL200" s="393" t="e">
        <f t="shared" si="89"/>
        <v>#DIV/0!</v>
      </c>
      <c r="AM200" s="393" t="e">
        <f t="shared" si="90"/>
        <v>#DIV/0!</v>
      </c>
      <c r="AN200" s="393">
        <f t="shared" si="91"/>
        <v>-100</v>
      </c>
      <c r="AO200" s="393" t="e">
        <f t="shared" si="92"/>
        <v>#DIV/0!</v>
      </c>
      <c r="AP200" s="393" t="e">
        <f t="shared" si="93"/>
        <v>#DIV/0!</v>
      </c>
      <c r="AQ200" s="393" t="e">
        <f t="shared" si="94"/>
        <v>#DIV/0!</v>
      </c>
      <c r="AR200" s="393" t="e">
        <f t="shared" si="95"/>
        <v>#DIV/0!</v>
      </c>
      <c r="AS200" s="393" t="e">
        <f t="shared" si="96"/>
        <v>#DIV/0!</v>
      </c>
      <c r="AT200" s="393" t="e">
        <f t="shared" si="97"/>
        <v>#DIV/0!</v>
      </c>
      <c r="AU200" s="393" t="e">
        <f t="shared" si="98"/>
        <v>#DIV/0!</v>
      </c>
      <c r="AV200" s="393" t="e">
        <f t="shared" si="99"/>
        <v>#DIV/0!</v>
      </c>
      <c r="AW200" s="393" t="e">
        <f t="shared" si="100"/>
        <v>#DIV/0!</v>
      </c>
      <c r="AX200" s="393" t="e">
        <f t="shared" si="101"/>
        <v>#DIV/0!</v>
      </c>
      <c r="AY200" s="393" t="e">
        <f t="shared" si="102"/>
        <v>#DIV/0!</v>
      </c>
      <c r="AZ200" s="393" t="e">
        <f t="shared" si="103"/>
        <v>#DIV/0!</v>
      </c>
      <c r="BA200" s="393" t="e">
        <f t="shared" si="104"/>
        <v>#DIV/0!</v>
      </c>
      <c r="BB200" s="393" t="e">
        <f t="shared" si="105"/>
        <v>#DIV/0!</v>
      </c>
    </row>
    <row r="201" spans="1:54" x14ac:dyDescent="0.25">
      <c r="A201" s="361" t="s">
        <v>1587</v>
      </c>
      <c r="B201" s="480"/>
      <c r="C201" s="480"/>
      <c r="D201" s="480"/>
      <c r="E201" s="480"/>
      <c r="F201" s="480"/>
      <c r="G201" s="480"/>
      <c r="H201" s="480"/>
      <c r="I201" s="480"/>
      <c r="J201" s="480"/>
      <c r="K201" s="480"/>
      <c r="L201" s="480"/>
      <c r="M201" s="480"/>
      <c r="N201" s="480"/>
      <c r="O201" s="480"/>
      <c r="P201" s="480"/>
      <c r="Q201" s="480"/>
      <c r="R201" s="480">
        <f>1118/1800</f>
        <v>0.62109999999999999</v>
      </c>
      <c r="S201" s="480"/>
      <c r="T201" s="480"/>
      <c r="U201" s="480"/>
      <c r="V201" s="480"/>
      <c r="W201" s="480"/>
      <c r="X201" s="480"/>
      <c r="Y201" s="480"/>
      <c r="Z201" s="480"/>
      <c r="AA201" s="480"/>
      <c r="AB201" s="480"/>
      <c r="AC201" s="393" t="e">
        <f t="shared" si="80"/>
        <v>#DIV/0!</v>
      </c>
      <c r="AD201" s="393" t="e">
        <f t="shared" si="81"/>
        <v>#DIV/0!</v>
      </c>
      <c r="AE201" s="393" t="e">
        <f t="shared" si="82"/>
        <v>#DIV/0!</v>
      </c>
      <c r="AF201" s="393" t="e">
        <f t="shared" si="83"/>
        <v>#DIV/0!</v>
      </c>
      <c r="AG201" s="393" t="e">
        <f t="shared" si="84"/>
        <v>#DIV/0!</v>
      </c>
      <c r="AH201" s="393" t="e">
        <f t="shared" si="85"/>
        <v>#DIV/0!</v>
      </c>
      <c r="AI201" s="393" t="e">
        <f t="shared" si="86"/>
        <v>#DIV/0!</v>
      </c>
      <c r="AJ201" s="393" t="e">
        <f t="shared" si="87"/>
        <v>#DIV/0!</v>
      </c>
      <c r="AK201" s="393" t="e">
        <f t="shared" si="88"/>
        <v>#DIV/0!</v>
      </c>
      <c r="AL201" s="393" t="e">
        <f t="shared" si="89"/>
        <v>#DIV/0!</v>
      </c>
      <c r="AM201" s="393" t="e">
        <f t="shared" si="90"/>
        <v>#DIV/0!</v>
      </c>
      <c r="AN201" s="393" t="e">
        <f t="shared" si="91"/>
        <v>#DIV/0!</v>
      </c>
      <c r="AO201" s="393" t="e">
        <f t="shared" si="92"/>
        <v>#DIV/0!</v>
      </c>
      <c r="AP201" s="393" t="e">
        <f t="shared" si="93"/>
        <v>#DIV/0!</v>
      </c>
      <c r="AQ201" s="393" t="e">
        <f t="shared" si="94"/>
        <v>#DIV/0!</v>
      </c>
      <c r="AR201" s="393" t="e">
        <f t="shared" si="95"/>
        <v>#DIV/0!</v>
      </c>
      <c r="AS201" s="393">
        <f t="shared" si="96"/>
        <v>-100</v>
      </c>
      <c r="AT201" s="393" t="e">
        <f t="shared" si="97"/>
        <v>#DIV/0!</v>
      </c>
      <c r="AU201" s="393" t="e">
        <f t="shared" si="98"/>
        <v>#DIV/0!</v>
      </c>
      <c r="AV201" s="393" t="e">
        <f t="shared" si="99"/>
        <v>#DIV/0!</v>
      </c>
      <c r="AW201" s="393" t="e">
        <f t="shared" si="100"/>
        <v>#DIV/0!</v>
      </c>
      <c r="AX201" s="393" t="e">
        <f t="shared" si="101"/>
        <v>#DIV/0!</v>
      </c>
      <c r="AY201" s="393" t="e">
        <f t="shared" si="102"/>
        <v>#DIV/0!</v>
      </c>
      <c r="AZ201" s="393" t="e">
        <f t="shared" si="103"/>
        <v>#DIV/0!</v>
      </c>
      <c r="BA201" s="393" t="e">
        <f t="shared" si="104"/>
        <v>#DIV/0!</v>
      </c>
      <c r="BB201" s="393" t="e">
        <f t="shared" si="105"/>
        <v>#DIV/0!</v>
      </c>
    </row>
    <row r="202" spans="1:54" x14ac:dyDescent="0.25">
      <c r="A202" s="360" t="s">
        <v>1320</v>
      </c>
      <c r="B202" s="480"/>
      <c r="C202" s="480"/>
      <c r="D202" s="480">
        <f>492/1800</f>
        <v>0.27329999999999999</v>
      </c>
      <c r="E202" s="480"/>
      <c r="F202" s="480"/>
      <c r="G202" s="480"/>
      <c r="H202" s="480"/>
      <c r="I202" s="480"/>
      <c r="J202" s="480"/>
      <c r="K202" s="480"/>
      <c r="L202" s="480"/>
      <c r="M202" s="480"/>
      <c r="N202" s="480"/>
      <c r="O202" s="480"/>
      <c r="P202" s="480"/>
      <c r="Q202" s="480"/>
      <c r="R202" s="480"/>
      <c r="S202" s="480"/>
      <c r="T202" s="480"/>
      <c r="U202" s="480"/>
      <c r="V202" s="480"/>
      <c r="W202" s="480"/>
      <c r="X202" s="480"/>
      <c r="Y202" s="480"/>
      <c r="Z202" s="480"/>
      <c r="AA202" s="480"/>
      <c r="AB202" s="480"/>
      <c r="AC202" s="393" t="e">
        <f t="shared" si="80"/>
        <v>#DIV/0!</v>
      </c>
      <c r="AD202" s="393" t="e">
        <f t="shared" si="81"/>
        <v>#DIV/0!</v>
      </c>
      <c r="AE202" s="393">
        <f t="shared" si="82"/>
        <v>-100</v>
      </c>
      <c r="AF202" s="393" t="e">
        <f t="shared" si="83"/>
        <v>#DIV/0!</v>
      </c>
      <c r="AG202" s="393" t="e">
        <f t="shared" si="84"/>
        <v>#DIV/0!</v>
      </c>
      <c r="AH202" s="393" t="e">
        <f t="shared" si="85"/>
        <v>#DIV/0!</v>
      </c>
      <c r="AI202" s="393" t="e">
        <f t="shared" si="86"/>
        <v>#DIV/0!</v>
      </c>
      <c r="AJ202" s="393" t="e">
        <f t="shared" si="87"/>
        <v>#DIV/0!</v>
      </c>
      <c r="AK202" s="393" t="e">
        <f t="shared" si="88"/>
        <v>#DIV/0!</v>
      </c>
      <c r="AL202" s="393" t="e">
        <f t="shared" si="89"/>
        <v>#DIV/0!</v>
      </c>
      <c r="AM202" s="393" t="e">
        <f t="shared" si="90"/>
        <v>#DIV/0!</v>
      </c>
      <c r="AN202" s="393" t="e">
        <f t="shared" si="91"/>
        <v>#DIV/0!</v>
      </c>
      <c r="AO202" s="393" t="e">
        <f t="shared" si="92"/>
        <v>#DIV/0!</v>
      </c>
      <c r="AP202" s="393" t="e">
        <f t="shared" si="93"/>
        <v>#DIV/0!</v>
      </c>
      <c r="AQ202" s="393" t="e">
        <f t="shared" si="94"/>
        <v>#DIV/0!</v>
      </c>
      <c r="AR202" s="393" t="e">
        <f t="shared" si="95"/>
        <v>#DIV/0!</v>
      </c>
      <c r="AS202" s="393" t="e">
        <f t="shared" si="96"/>
        <v>#DIV/0!</v>
      </c>
      <c r="AT202" s="393" t="e">
        <f t="shared" si="97"/>
        <v>#DIV/0!</v>
      </c>
      <c r="AU202" s="393" t="e">
        <f t="shared" si="98"/>
        <v>#DIV/0!</v>
      </c>
      <c r="AV202" s="393" t="e">
        <f t="shared" si="99"/>
        <v>#DIV/0!</v>
      </c>
      <c r="AW202" s="393" t="e">
        <f t="shared" si="100"/>
        <v>#DIV/0!</v>
      </c>
      <c r="AX202" s="393" t="e">
        <f t="shared" si="101"/>
        <v>#DIV/0!</v>
      </c>
      <c r="AY202" s="393" t="e">
        <f t="shared" si="102"/>
        <v>#DIV/0!</v>
      </c>
      <c r="AZ202" s="393" t="e">
        <f t="shared" si="103"/>
        <v>#DIV/0!</v>
      </c>
      <c r="BA202" s="393" t="e">
        <f t="shared" si="104"/>
        <v>#DIV/0!</v>
      </c>
      <c r="BB202" s="393" t="e">
        <f t="shared" si="105"/>
        <v>#DIV/0!</v>
      </c>
    </row>
    <row r="203" spans="1:54" x14ac:dyDescent="0.25">
      <c r="A203" s="361" t="s">
        <v>968</v>
      </c>
      <c r="B203" s="480"/>
      <c r="C203" s="480"/>
      <c r="D203" s="480"/>
      <c r="E203" s="480"/>
      <c r="F203" s="480"/>
      <c r="G203" s="480"/>
      <c r="H203" s="480"/>
      <c r="I203" s="480"/>
      <c r="J203" s="480"/>
      <c r="K203" s="480"/>
      <c r="L203" s="480"/>
      <c r="M203" s="480"/>
      <c r="N203" s="480"/>
      <c r="O203" s="480"/>
      <c r="P203" s="480"/>
      <c r="Q203" s="480"/>
      <c r="R203" s="480"/>
      <c r="S203" s="480"/>
      <c r="T203" s="480"/>
      <c r="U203" s="480"/>
      <c r="V203" s="481"/>
      <c r="W203" s="481">
        <f>774/1200</f>
        <v>0.64500000000000002</v>
      </c>
      <c r="X203" s="481">
        <f>1180/1800</f>
        <v>0.65559999999999996</v>
      </c>
      <c r="Y203" s="481"/>
      <c r="Z203" s="481"/>
      <c r="AA203" s="481"/>
      <c r="AB203" s="481"/>
      <c r="AC203" s="393" t="e">
        <f t="shared" si="80"/>
        <v>#DIV/0!</v>
      </c>
      <c r="AD203" s="393" t="e">
        <f t="shared" si="81"/>
        <v>#DIV/0!</v>
      </c>
      <c r="AE203" s="393" t="e">
        <f t="shared" si="82"/>
        <v>#DIV/0!</v>
      </c>
      <c r="AF203" s="393" t="e">
        <f t="shared" si="83"/>
        <v>#DIV/0!</v>
      </c>
      <c r="AG203" s="393" t="e">
        <f t="shared" si="84"/>
        <v>#DIV/0!</v>
      </c>
      <c r="AH203" s="393" t="e">
        <f t="shared" si="85"/>
        <v>#DIV/0!</v>
      </c>
      <c r="AI203" s="393" t="e">
        <f t="shared" si="86"/>
        <v>#DIV/0!</v>
      </c>
      <c r="AJ203" s="393" t="e">
        <f t="shared" si="87"/>
        <v>#DIV/0!</v>
      </c>
      <c r="AK203" s="393" t="e">
        <f t="shared" si="88"/>
        <v>#DIV/0!</v>
      </c>
      <c r="AL203" s="393" t="e">
        <f t="shared" si="89"/>
        <v>#DIV/0!</v>
      </c>
      <c r="AM203" s="393" t="e">
        <f t="shared" si="90"/>
        <v>#DIV/0!</v>
      </c>
      <c r="AN203" s="393" t="e">
        <f t="shared" si="91"/>
        <v>#DIV/0!</v>
      </c>
      <c r="AO203" s="393" t="e">
        <f t="shared" si="92"/>
        <v>#DIV/0!</v>
      </c>
      <c r="AP203" s="393" t="e">
        <f t="shared" si="93"/>
        <v>#DIV/0!</v>
      </c>
      <c r="AQ203" s="393" t="e">
        <f t="shared" si="94"/>
        <v>#DIV/0!</v>
      </c>
      <c r="AR203" s="393" t="e">
        <f t="shared" si="95"/>
        <v>#DIV/0!</v>
      </c>
      <c r="AS203" s="393" t="e">
        <f t="shared" si="96"/>
        <v>#DIV/0!</v>
      </c>
      <c r="AT203" s="393" t="e">
        <f t="shared" si="97"/>
        <v>#DIV/0!</v>
      </c>
      <c r="AU203" s="393" t="e">
        <f t="shared" si="98"/>
        <v>#DIV/0!</v>
      </c>
      <c r="AV203" s="393" t="e">
        <f t="shared" si="99"/>
        <v>#DIV/0!</v>
      </c>
      <c r="AW203" s="393" t="e">
        <f t="shared" si="100"/>
        <v>#DIV/0!</v>
      </c>
      <c r="AX203" s="393">
        <f t="shared" si="101"/>
        <v>1.643</v>
      </c>
      <c r="AY203" s="393">
        <f t="shared" si="102"/>
        <v>-100</v>
      </c>
      <c r="AZ203" s="393" t="e">
        <f t="shared" si="103"/>
        <v>#DIV/0!</v>
      </c>
      <c r="BA203" s="393" t="e">
        <f t="shared" si="104"/>
        <v>#DIV/0!</v>
      </c>
      <c r="BB203" s="393" t="e">
        <f t="shared" si="105"/>
        <v>#DIV/0!</v>
      </c>
    </row>
    <row r="204" spans="1:54" x14ac:dyDescent="0.25">
      <c r="A204" s="361" t="s">
        <v>69</v>
      </c>
      <c r="B204" s="480"/>
      <c r="C204" s="480"/>
      <c r="D204" s="480"/>
      <c r="E204" s="480"/>
      <c r="F204" s="480"/>
      <c r="G204" s="480"/>
      <c r="H204" s="480"/>
      <c r="I204" s="480"/>
      <c r="J204" s="480"/>
      <c r="K204" s="480"/>
      <c r="L204" s="480"/>
      <c r="M204" s="480"/>
      <c r="N204" s="480"/>
      <c r="O204" s="480"/>
      <c r="P204" s="480"/>
      <c r="Q204" s="480"/>
      <c r="R204" s="480"/>
      <c r="S204" s="480"/>
      <c r="T204" s="480"/>
      <c r="U204" s="480">
        <f>1029/1800</f>
        <v>0.57169999999999999</v>
      </c>
      <c r="V204" s="480"/>
      <c r="W204" s="480"/>
      <c r="X204" s="480"/>
      <c r="Y204" s="480">
        <f>1202/1800</f>
        <v>0.66779999999999995</v>
      </c>
      <c r="Z204" s="480"/>
      <c r="AA204" s="480"/>
      <c r="AB204" s="480"/>
      <c r="AC204" s="393" t="e">
        <f t="shared" si="80"/>
        <v>#DIV/0!</v>
      </c>
      <c r="AD204" s="393" t="e">
        <f t="shared" si="81"/>
        <v>#DIV/0!</v>
      </c>
      <c r="AE204" s="393" t="e">
        <f t="shared" si="82"/>
        <v>#DIV/0!</v>
      </c>
      <c r="AF204" s="393" t="e">
        <f t="shared" si="83"/>
        <v>#DIV/0!</v>
      </c>
      <c r="AG204" s="393" t="e">
        <f t="shared" si="84"/>
        <v>#DIV/0!</v>
      </c>
      <c r="AH204" s="393" t="e">
        <f t="shared" si="85"/>
        <v>#DIV/0!</v>
      </c>
      <c r="AI204" s="393" t="e">
        <f t="shared" si="86"/>
        <v>#DIV/0!</v>
      </c>
      <c r="AJ204" s="393" t="e">
        <f t="shared" si="87"/>
        <v>#DIV/0!</v>
      </c>
      <c r="AK204" s="393" t="e">
        <f t="shared" si="88"/>
        <v>#DIV/0!</v>
      </c>
      <c r="AL204" s="393" t="e">
        <f t="shared" si="89"/>
        <v>#DIV/0!</v>
      </c>
      <c r="AM204" s="393" t="e">
        <f t="shared" si="90"/>
        <v>#DIV/0!</v>
      </c>
      <c r="AN204" s="393" t="e">
        <f t="shared" si="91"/>
        <v>#DIV/0!</v>
      </c>
      <c r="AO204" s="393" t="e">
        <f t="shared" si="92"/>
        <v>#DIV/0!</v>
      </c>
      <c r="AP204" s="393" t="e">
        <f t="shared" si="93"/>
        <v>#DIV/0!</v>
      </c>
      <c r="AQ204" s="393" t="e">
        <f t="shared" si="94"/>
        <v>#DIV/0!</v>
      </c>
      <c r="AR204" s="393" t="e">
        <f t="shared" si="95"/>
        <v>#DIV/0!</v>
      </c>
      <c r="AS204" s="393" t="e">
        <f t="shared" si="96"/>
        <v>#DIV/0!</v>
      </c>
      <c r="AT204" s="393" t="e">
        <f t="shared" si="97"/>
        <v>#DIV/0!</v>
      </c>
      <c r="AU204" s="393" t="e">
        <f t="shared" si="98"/>
        <v>#DIV/0!</v>
      </c>
      <c r="AV204" s="393">
        <f t="shared" si="99"/>
        <v>-100</v>
      </c>
      <c r="AW204" s="393" t="e">
        <f t="shared" si="100"/>
        <v>#DIV/0!</v>
      </c>
      <c r="AX204" s="393" t="e">
        <f t="shared" si="101"/>
        <v>#DIV/0!</v>
      </c>
      <c r="AY204" s="393" t="e">
        <f t="shared" si="102"/>
        <v>#DIV/0!</v>
      </c>
      <c r="AZ204" s="393">
        <f t="shared" si="103"/>
        <v>-100</v>
      </c>
      <c r="BA204" s="393" t="e">
        <f t="shared" si="104"/>
        <v>#DIV/0!</v>
      </c>
      <c r="BB204" s="393" t="e">
        <f t="shared" si="105"/>
        <v>#DIV/0!</v>
      </c>
    </row>
    <row r="205" spans="1:54" x14ac:dyDescent="0.25">
      <c r="A205" s="360" t="s">
        <v>3118</v>
      </c>
      <c r="B205" s="480"/>
      <c r="C205" s="480"/>
      <c r="D205" s="480">
        <f>1115/1800</f>
        <v>0.61939999999999995</v>
      </c>
      <c r="E205" s="480"/>
      <c r="F205" s="480"/>
      <c r="G205" s="480"/>
      <c r="H205" s="480"/>
      <c r="I205" s="480"/>
      <c r="J205" s="480"/>
      <c r="K205" s="480"/>
      <c r="L205" s="480"/>
      <c r="M205" s="480"/>
      <c r="N205" s="480"/>
      <c r="O205" s="480"/>
      <c r="P205" s="480"/>
      <c r="Q205" s="480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393" t="e">
        <f t="shared" si="80"/>
        <v>#DIV/0!</v>
      </c>
      <c r="AD205" s="393" t="e">
        <f t="shared" si="81"/>
        <v>#DIV/0!</v>
      </c>
      <c r="AE205" s="393">
        <f t="shared" si="82"/>
        <v>-100</v>
      </c>
      <c r="AF205" s="393" t="e">
        <f t="shared" si="83"/>
        <v>#DIV/0!</v>
      </c>
      <c r="AG205" s="393" t="e">
        <f t="shared" si="84"/>
        <v>#DIV/0!</v>
      </c>
      <c r="AH205" s="393" t="e">
        <f t="shared" si="85"/>
        <v>#DIV/0!</v>
      </c>
      <c r="AI205" s="393" t="e">
        <f t="shared" si="86"/>
        <v>#DIV/0!</v>
      </c>
      <c r="AJ205" s="393" t="e">
        <f t="shared" si="87"/>
        <v>#DIV/0!</v>
      </c>
      <c r="AK205" s="393" t="e">
        <f t="shared" si="88"/>
        <v>#DIV/0!</v>
      </c>
      <c r="AL205" s="393" t="e">
        <f t="shared" si="89"/>
        <v>#DIV/0!</v>
      </c>
      <c r="AM205" s="393" t="e">
        <f t="shared" si="90"/>
        <v>#DIV/0!</v>
      </c>
      <c r="AN205" s="393" t="e">
        <f t="shared" si="91"/>
        <v>#DIV/0!</v>
      </c>
      <c r="AO205" s="393" t="e">
        <f t="shared" si="92"/>
        <v>#DIV/0!</v>
      </c>
      <c r="AP205" s="393" t="e">
        <f t="shared" si="93"/>
        <v>#DIV/0!</v>
      </c>
      <c r="AQ205" s="393" t="e">
        <f t="shared" si="94"/>
        <v>#DIV/0!</v>
      </c>
      <c r="AR205" s="393" t="e">
        <f t="shared" si="95"/>
        <v>#DIV/0!</v>
      </c>
      <c r="AS205" s="393" t="e">
        <f t="shared" si="96"/>
        <v>#DIV/0!</v>
      </c>
      <c r="AT205" s="393" t="e">
        <f t="shared" si="97"/>
        <v>#DIV/0!</v>
      </c>
      <c r="AU205" s="393" t="e">
        <f t="shared" si="98"/>
        <v>#DIV/0!</v>
      </c>
      <c r="AV205" s="393" t="e">
        <f t="shared" si="99"/>
        <v>#DIV/0!</v>
      </c>
      <c r="AW205" s="393" t="e">
        <f t="shared" si="100"/>
        <v>#DIV/0!</v>
      </c>
      <c r="AX205" s="393" t="e">
        <f t="shared" si="101"/>
        <v>#DIV/0!</v>
      </c>
      <c r="AY205" s="393" t="e">
        <f t="shared" si="102"/>
        <v>#DIV/0!</v>
      </c>
      <c r="AZ205" s="393" t="e">
        <f t="shared" si="103"/>
        <v>#DIV/0!</v>
      </c>
      <c r="BA205" s="393" t="e">
        <f t="shared" si="104"/>
        <v>#DIV/0!</v>
      </c>
      <c r="BB205" s="393" t="e">
        <f t="shared" si="105"/>
        <v>#DIV/0!</v>
      </c>
    </row>
    <row r="206" spans="1:54" x14ac:dyDescent="0.25">
      <c r="A206" s="361" t="s">
        <v>147</v>
      </c>
      <c r="B206" s="480">
        <f>1322/1800</f>
        <v>0.73440000000000005</v>
      </c>
      <c r="C206" s="480">
        <f>1286/1800</f>
        <v>0.71440000000000003</v>
      </c>
      <c r="D206" s="480">
        <f>1354/1800</f>
        <v>0.75219999999999998</v>
      </c>
      <c r="E206" s="480"/>
      <c r="F206" s="480"/>
      <c r="G206" s="480"/>
      <c r="H206" s="480"/>
      <c r="I206" s="480"/>
      <c r="J206" s="480"/>
      <c r="K206" s="480"/>
      <c r="L206" s="480"/>
      <c r="M206" s="480"/>
      <c r="N206" s="480"/>
      <c r="O206" s="480"/>
      <c r="P206" s="480"/>
      <c r="Q206" s="480"/>
      <c r="R206" s="480"/>
      <c r="S206" s="480"/>
      <c r="T206" s="480"/>
      <c r="U206" s="480"/>
      <c r="V206" s="480"/>
      <c r="W206" s="480"/>
      <c r="X206" s="480"/>
      <c r="Y206" s="480"/>
      <c r="Z206" s="480"/>
      <c r="AA206" s="480"/>
      <c r="AB206" s="480"/>
      <c r="AC206" s="393">
        <f t="shared" si="80"/>
        <v>-2.7229999999999999</v>
      </c>
      <c r="AD206" s="393">
        <f t="shared" si="81"/>
        <v>5.2910000000000004</v>
      </c>
      <c r="AE206" s="393">
        <f t="shared" si="82"/>
        <v>-100</v>
      </c>
      <c r="AF206" s="393" t="e">
        <f t="shared" si="83"/>
        <v>#DIV/0!</v>
      </c>
      <c r="AG206" s="393" t="e">
        <f t="shared" si="84"/>
        <v>#DIV/0!</v>
      </c>
      <c r="AH206" s="393" t="e">
        <f t="shared" si="85"/>
        <v>#DIV/0!</v>
      </c>
      <c r="AI206" s="393" t="e">
        <f t="shared" si="86"/>
        <v>#DIV/0!</v>
      </c>
      <c r="AJ206" s="393" t="e">
        <f t="shared" si="87"/>
        <v>#DIV/0!</v>
      </c>
      <c r="AK206" s="393" t="e">
        <f t="shared" si="88"/>
        <v>#DIV/0!</v>
      </c>
      <c r="AL206" s="393" t="e">
        <f t="shared" si="89"/>
        <v>#DIV/0!</v>
      </c>
      <c r="AM206" s="393" t="e">
        <f t="shared" si="90"/>
        <v>#DIV/0!</v>
      </c>
      <c r="AN206" s="393" t="e">
        <f t="shared" si="91"/>
        <v>#DIV/0!</v>
      </c>
      <c r="AO206" s="393" t="e">
        <f t="shared" si="92"/>
        <v>#DIV/0!</v>
      </c>
      <c r="AP206" s="393" t="e">
        <f t="shared" si="93"/>
        <v>#DIV/0!</v>
      </c>
      <c r="AQ206" s="393" t="e">
        <f t="shared" si="94"/>
        <v>#DIV/0!</v>
      </c>
      <c r="AR206" s="393" t="e">
        <f t="shared" si="95"/>
        <v>#DIV/0!</v>
      </c>
      <c r="AS206" s="393" t="e">
        <f t="shared" si="96"/>
        <v>#DIV/0!</v>
      </c>
      <c r="AT206" s="393" t="e">
        <f t="shared" si="97"/>
        <v>#DIV/0!</v>
      </c>
      <c r="AU206" s="393" t="e">
        <f t="shared" si="98"/>
        <v>#DIV/0!</v>
      </c>
      <c r="AV206" s="393" t="e">
        <f t="shared" si="99"/>
        <v>#DIV/0!</v>
      </c>
      <c r="AW206" s="393" t="e">
        <f t="shared" si="100"/>
        <v>#DIV/0!</v>
      </c>
      <c r="AX206" s="393" t="e">
        <f t="shared" si="101"/>
        <v>#DIV/0!</v>
      </c>
      <c r="AY206" s="393" t="e">
        <f t="shared" si="102"/>
        <v>#DIV/0!</v>
      </c>
      <c r="AZ206" s="393" t="e">
        <f t="shared" si="103"/>
        <v>#DIV/0!</v>
      </c>
      <c r="BA206" s="393" t="e">
        <f t="shared" si="104"/>
        <v>#DIV/0!</v>
      </c>
      <c r="BB206" s="393" t="e">
        <f t="shared" si="105"/>
        <v>#DIV/0!</v>
      </c>
    </row>
    <row r="207" spans="1:54" x14ac:dyDescent="0.25">
      <c r="A207" s="361" t="s">
        <v>1143</v>
      </c>
      <c r="B207" s="480"/>
      <c r="C207" s="480"/>
      <c r="D207" s="480"/>
      <c r="E207" s="480"/>
      <c r="F207" s="480"/>
      <c r="G207" s="480"/>
      <c r="H207" s="480"/>
      <c r="I207" s="480"/>
      <c r="J207" s="480"/>
      <c r="K207" s="480"/>
      <c r="L207" s="480"/>
      <c r="M207" s="480"/>
      <c r="N207" s="480"/>
      <c r="O207" s="480"/>
      <c r="P207" s="480"/>
      <c r="Q207" s="480"/>
      <c r="R207" s="480"/>
      <c r="S207" s="480"/>
      <c r="T207" s="480"/>
      <c r="U207" s="480"/>
      <c r="V207" s="480"/>
      <c r="W207" s="480"/>
      <c r="X207" s="480"/>
      <c r="Y207" s="480">
        <f>1258/1800</f>
        <v>0.69889999999999997</v>
      </c>
      <c r="Z207" s="480"/>
      <c r="AA207" s="480"/>
      <c r="AB207" s="480"/>
      <c r="AC207" s="393" t="e">
        <f t="shared" si="80"/>
        <v>#DIV/0!</v>
      </c>
      <c r="AD207" s="393" t="e">
        <f t="shared" si="81"/>
        <v>#DIV/0!</v>
      </c>
      <c r="AE207" s="393" t="e">
        <f t="shared" si="82"/>
        <v>#DIV/0!</v>
      </c>
      <c r="AF207" s="393" t="e">
        <f t="shared" si="83"/>
        <v>#DIV/0!</v>
      </c>
      <c r="AG207" s="393" t="e">
        <f t="shared" si="84"/>
        <v>#DIV/0!</v>
      </c>
      <c r="AH207" s="393" t="e">
        <f t="shared" si="85"/>
        <v>#DIV/0!</v>
      </c>
      <c r="AI207" s="393" t="e">
        <f t="shared" si="86"/>
        <v>#DIV/0!</v>
      </c>
      <c r="AJ207" s="393" t="e">
        <f t="shared" si="87"/>
        <v>#DIV/0!</v>
      </c>
      <c r="AK207" s="393" t="e">
        <f t="shared" si="88"/>
        <v>#DIV/0!</v>
      </c>
      <c r="AL207" s="393" t="e">
        <f t="shared" si="89"/>
        <v>#DIV/0!</v>
      </c>
      <c r="AM207" s="393" t="e">
        <f t="shared" si="90"/>
        <v>#DIV/0!</v>
      </c>
      <c r="AN207" s="393" t="e">
        <f t="shared" si="91"/>
        <v>#DIV/0!</v>
      </c>
      <c r="AO207" s="393" t="e">
        <f t="shared" si="92"/>
        <v>#DIV/0!</v>
      </c>
      <c r="AP207" s="393" t="e">
        <f t="shared" si="93"/>
        <v>#DIV/0!</v>
      </c>
      <c r="AQ207" s="393" t="e">
        <f t="shared" si="94"/>
        <v>#DIV/0!</v>
      </c>
      <c r="AR207" s="393" t="e">
        <f t="shared" si="95"/>
        <v>#DIV/0!</v>
      </c>
      <c r="AS207" s="393" t="e">
        <f t="shared" si="96"/>
        <v>#DIV/0!</v>
      </c>
      <c r="AT207" s="393" t="e">
        <f t="shared" si="97"/>
        <v>#DIV/0!</v>
      </c>
      <c r="AU207" s="393" t="e">
        <f t="shared" si="98"/>
        <v>#DIV/0!</v>
      </c>
      <c r="AV207" s="393" t="e">
        <f t="shared" si="99"/>
        <v>#DIV/0!</v>
      </c>
      <c r="AW207" s="393" t="e">
        <f t="shared" si="100"/>
        <v>#DIV/0!</v>
      </c>
      <c r="AX207" s="393" t="e">
        <f t="shared" si="101"/>
        <v>#DIV/0!</v>
      </c>
      <c r="AY207" s="393" t="e">
        <f t="shared" si="102"/>
        <v>#DIV/0!</v>
      </c>
      <c r="AZ207" s="393">
        <f t="shared" si="103"/>
        <v>-100</v>
      </c>
      <c r="BA207" s="393" t="e">
        <f t="shared" si="104"/>
        <v>#DIV/0!</v>
      </c>
      <c r="BB207" s="393" t="e">
        <f t="shared" si="105"/>
        <v>#DIV/0!</v>
      </c>
    </row>
    <row r="208" spans="1:54" x14ac:dyDescent="0.25">
      <c r="A208" s="361" t="s">
        <v>1611</v>
      </c>
      <c r="B208" s="480"/>
      <c r="C208" s="480"/>
      <c r="D208" s="480"/>
      <c r="E208" s="480"/>
      <c r="F208" s="480"/>
      <c r="G208" s="480"/>
      <c r="H208" s="480"/>
      <c r="I208" s="480"/>
      <c r="J208" s="480"/>
      <c r="K208" s="480"/>
      <c r="L208" s="480"/>
      <c r="M208" s="480"/>
      <c r="N208" s="480"/>
      <c r="O208" s="480"/>
      <c r="P208" s="480"/>
      <c r="Q208" s="480"/>
      <c r="R208" s="480"/>
      <c r="S208" s="480">
        <f>971/1800</f>
        <v>0.53939999999999999</v>
      </c>
      <c r="T208" s="480"/>
      <c r="U208" s="480"/>
      <c r="V208" s="480"/>
      <c r="W208" s="480"/>
      <c r="X208" s="480"/>
      <c r="Y208" s="480"/>
      <c r="Z208" s="480"/>
      <c r="AA208" s="480"/>
      <c r="AB208" s="480"/>
      <c r="AC208" s="393" t="e">
        <f t="shared" si="80"/>
        <v>#DIV/0!</v>
      </c>
      <c r="AD208" s="393" t="e">
        <f t="shared" si="81"/>
        <v>#DIV/0!</v>
      </c>
      <c r="AE208" s="393" t="e">
        <f t="shared" si="82"/>
        <v>#DIV/0!</v>
      </c>
      <c r="AF208" s="393" t="e">
        <f t="shared" si="83"/>
        <v>#DIV/0!</v>
      </c>
      <c r="AG208" s="393" t="e">
        <f t="shared" si="84"/>
        <v>#DIV/0!</v>
      </c>
      <c r="AH208" s="393" t="e">
        <f t="shared" si="85"/>
        <v>#DIV/0!</v>
      </c>
      <c r="AI208" s="393" t="e">
        <f t="shared" si="86"/>
        <v>#DIV/0!</v>
      </c>
      <c r="AJ208" s="393" t="e">
        <f t="shared" si="87"/>
        <v>#DIV/0!</v>
      </c>
      <c r="AK208" s="393" t="e">
        <f t="shared" si="88"/>
        <v>#DIV/0!</v>
      </c>
      <c r="AL208" s="393" t="e">
        <f t="shared" si="89"/>
        <v>#DIV/0!</v>
      </c>
      <c r="AM208" s="393" t="e">
        <f t="shared" si="90"/>
        <v>#DIV/0!</v>
      </c>
      <c r="AN208" s="393" t="e">
        <f t="shared" si="91"/>
        <v>#DIV/0!</v>
      </c>
      <c r="AO208" s="393" t="e">
        <f t="shared" si="92"/>
        <v>#DIV/0!</v>
      </c>
      <c r="AP208" s="393" t="e">
        <f t="shared" si="93"/>
        <v>#DIV/0!</v>
      </c>
      <c r="AQ208" s="393" t="e">
        <f t="shared" si="94"/>
        <v>#DIV/0!</v>
      </c>
      <c r="AR208" s="393" t="e">
        <f t="shared" si="95"/>
        <v>#DIV/0!</v>
      </c>
      <c r="AS208" s="393" t="e">
        <f t="shared" si="96"/>
        <v>#DIV/0!</v>
      </c>
      <c r="AT208" s="393">
        <f t="shared" si="97"/>
        <v>-100</v>
      </c>
      <c r="AU208" s="393" t="e">
        <f t="shared" si="98"/>
        <v>#DIV/0!</v>
      </c>
      <c r="AV208" s="393" t="e">
        <f t="shared" si="99"/>
        <v>#DIV/0!</v>
      </c>
      <c r="AW208" s="393" t="e">
        <f t="shared" si="100"/>
        <v>#DIV/0!</v>
      </c>
      <c r="AX208" s="393" t="e">
        <f t="shared" si="101"/>
        <v>#DIV/0!</v>
      </c>
      <c r="AY208" s="393" t="e">
        <f t="shared" si="102"/>
        <v>#DIV/0!</v>
      </c>
      <c r="AZ208" s="393" t="e">
        <f t="shared" si="103"/>
        <v>#DIV/0!</v>
      </c>
      <c r="BA208" s="393" t="e">
        <f t="shared" si="104"/>
        <v>#DIV/0!</v>
      </c>
      <c r="BB208" s="393" t="e">
        <f t="shared" si="105"/>
        <v>#DIV/0!</v>
      </c>
    </row>
    <row r="209" spans="1:54" x14ac:dyDescent="0.25">
      <c r="A209" s="361" t="s">
        <v>1578</v>
      </c>
      <c r="B209" s="480"/>
      <c r="C209" s="480"/>
      <c r="D209" s="480"/>
      <c r="E209" s="480"/>
      <c r="F209" s="480"/>
      <c r="G209" s="480"/>
      <c r="H209" s="480"/>
      <c r="I209" s="480"/>
      <c r="J209" s="480"/>
      <c r="K209" s="480"/>
      <c r="L209" s="480"/>
      <c r="M209" s="480"/>
      <c r="N209" s="480"/>
      <c r="O209" s="480"/>
      <c r="P209" s="480"/>
      <c r="Q209" s="480">
        <f>1062/1800</f>
        <v>0.59</v>
      </c>
      <c r="R209" s="480">
        <f>1120/1800</f>
        <v>0.62219999999999998</v>
      </c>
      <c r="S209" s="480"/>
      <c r="T209" s="480"/>
      <c r="U209" s="480"/>
      <c r="V209" s="480"/>
      <c r="W209" s="480"/>
      <c r="X209" s="480"/>
      <c r="Y209" s="480"/>
      <c r="Z209" s="480"/>
      <c r="AA209" s="480"/>
      <c r="AB209" s="480"/>
      <c r="AC209" s="393" t="e">
        <f t="shared" si="80"/>
        <v>#DIV/0!</v>
      </c>
      <c r="AD209" s="393" t="e">
        <f t="shared" si="81"/>
        <v>#DIV/0!</v>
      </c>
      <c r="AE209" s="393" t="e">
        <f t="shared" si="82"/>
        <v>#DIV/0!</v>
      </c>
      <c r="AF209" s="393" t="e">
        <f t="shared" si="83"/>
        <v>#DIV/0!</v>
      </c>
      <c r="AG209" s="393" t="e">
        <f t="shared" si="84"/>
        <v>#DIV/0!</v>
      </c>
      <c r="AH209" s="393" t="e">
        <f t="shared" si="85"/>
        <v>#DIV/0!</v>
      </c>
      <c r="AI209" s="393" t="e">
        <f t="shared" si="86"/>
        <v>#DIV/0!</v>
      </c>
      <c r="AJ209" s="393" t="e">
        <f t="shared" si="87"/>
        <v>#DIV/0!</v>
      </c>
      <c r="AK209" s="393" t="e">
        <f t="shared" si="88"/>
        <v>#DIV/0!</v>
      </c>
      <c r="AL209" s="393" t="e">
        <f t="shared" si="89"/>
        <v>#DIV/0!</v>
      </c>
      <c r="AM209" s="393" t="e">
        <f t="shared" si="90"/>
        <v>#DIV/0!</v>
      </c>
      <c r="AN209" s="393" t="e">
        <f t="shared" si="91"/>
        <v>#DIV/0!</v>
      </c>
      <c r="AO209" s="393" t="e">
        <f t="shared" si="92"/>
        <v>#DIV/0!</v>
      </c>
      <c r="AP209" s="393" t="e">
        <f t="shared" si="93"/>
        <v>#DIV/0!</v>
      </c>
      <c r="AQ209" s="393" t="e">
        <f t="shared" si="94"/>
        <v>#DIV/0!</v>
      </c>
      <c r="AR209" s="393">
        <f t="shared" si="95"/>
        <v>5.4580000000000002</v>
      </c>
      <c r="AS209" s="393">
        <f t="shared" si="96"/>
        <v>-100</v>
      </c>
      <c r="AT209" s="393" t="e">
        <f t="shared" si="97"/>
        <v>#DIV/0!</v>
      </c>
      <c r="AU209" s="393" t="e">
        <f t="shared" si="98"/>
        <v>#DIV/0!</v>
      </c>
      <c r="AV209" s="393" t="e">
        <f t="shared" si="99"/>
        <v>#DIV/0!</v>
      </c>
      <c r="AW209" s="393" t="e">
        <f t="shared" si="100"/>
        <v>#DIV/0!</v>
      </c>
      <c r="AX209" s="393" t="e">
        <f t="shared" si="101"/>
        <v>#DIV/0!</v>
      </c>
      <c r="AY209" s="393" t="e">
        <f t="shared" si="102"/>
        <v>#DIV/0!</v>
      </c>
      <c r="AZ209" s="393" t="e">
        <f t="shared" si="103"/>
        <v>#DIV/0!</v>
      </c>
      <c r="BA209" s="393" t="e">
        <f t="shared" si="104"/>
        <v>#DIV/0!</v>
      </c>
      <c r="BB209" s="393" t="e">
        <f t="shared" si="105"/>
        <v>#DIV/0!</v>
      </c>
    </row>
    <row r="210" spans="1:54" x14ac:dyDescent="0.25">
      <c r="A210" s="360" t="s">
        <v>4831</v>
      </c>
      <c r="B210" s="480"/>
      <c r="C210" s="480"/>
      <c r="D210" s="480"/>
      <c r="E210" s="480"/>
      <c r="F210" s="480"/>
      <c r="G210" s="480"/>
      <c r="H210" s="480"/>
      <c r="I210" s="480"/>
      <c r="J210" s="480"/>
      <c r="K210" s="480"/>
      <c r="L210" s="480"/>
      <c r="M210" s="480"/>
      <c r="N210" s="480"/>
      <c r="O210" s="480"/>
      <c r="P210" s="480"/>
      <c r="Q210" s="480"/>
      <c r="R210" s="480"/>
      <c r="S210" s="480"/>
      <c r="T210" s="480"/>
      <c r="U210" s="480"/>
      <c r="V210" s="480"/>
      <c r="W210" s="480"/>
      <c r="X210" s="480"/>
      <c r="Y210" s="480"/>
      <c r="Z210" s="480"/>
      <c r="AA210" s="480"/>
      <c r="AB210" s="480">
        <v>0.64</v>
      </c>
      <c r="AC210" s="393" t="e">
        <f t="shared" si="80"/>
        <v>#DIV/0!</v>
      </c>
      <c r="AD210" s="393" t="e">
        <f t="shared" si="81"/>
        <v>#DIV/0!</v>
      </c>
      <c r="AE210" s="393" t="e">
        <f t="shared" si="82"/>
        <v>#DIV/0!</v>
      </c>
      <c r="AF210" s="393" t="e">
        <f t="shared" si="83"/>
        <v>#DIV/0!</v>
      </c>
      <c r="AG210" s="393" t="e">
        <f t="shared" si="84"/>
        <v>#DIV/0!</v>
      </c>
      <c r="AH210" s="393" t="e">
        <f t="shared" si="85"/>
        <v>#DIV/0!</v>
      </c>
      <c r="AI210" s="393" t="e">
        <f t="shared" si="86"/>
        <v>#DIV/0!</v>
      </c>
      <c r="AJ210" s="393" t="e">
        <f t="shared" si="87"/>
        <v>#DIV/0!</v>
      </c>
      <c r="AK210" s="393" t="e">
        <f t="shared" si="88"/>
        <v>#DIV/0!</v>
      </c>
      <c r="AL210" s="393" t="e">
        <f t="shared" si="89"/>
        <v>#DIV/0!</v>
      </c>
      <c r="AM210" s="393" t="e">
        <f t="shared" si="90"/>
        <v>#DIV/0!</v>
      </c>
      <c r="AN210" s="393" t="e">
        <f t="shared" si="91"/>
        <v>#DIV/0!</v>
      </c>
      <c r="AO210" s="393" t="e">
        <f t="shared" si="92"/>
        <v>#DIV/0!</v>
      </c>
      <c r="AP210" s="393" t="e">
        <f t="shared" si="93"/>
        <v>#DIV/0!</v>
      </c>
      <c r="AQ210" s="393" t="e">
        <f t="shared" si="94"/>
        <v>#DIV/0!</v>
      </c>
      <c r="AR210" s="393" t="e">
        <f t="shared" si="95"/>
        <v>#DIV/0!</v>
      </c>
      <c r="AS210" s="393" t="e">
        <f t="shared" si="96"/>
        <v>#DIV/0!</v>
      </c>
      <c r="AT210" s="393" t="e">
        <f t="shared" si="97"/>
        <v>#DIV/0!</v>
      </c>
      <c r="AU210" s="393" t="e">
        <f t="shared" si="98"/>
        <v>#DIV/0!</v>
      </c>
      <c r="AV210" s="393" t="e">
        <f t="shared" si="99"/>
        <v>#DIV/0!</v>
      </c>
      <c r="AW210" s="393" t="e">
        <f t="shared" si="100"/>
        <v>#DIV/0!</v>
      </c>
      <c r="AX210" s="393" t="e">
        <f t="shared" si="101"/>
        <v>#DIV/0!</v>
      </c>
      <c r="AY210" s="393" t="e">
        <f t="shared" si="102"/>
        <v>#DIV/0!</v>
      </c>
      <c r="AZ210" s="393" t="e">
        <f t="shared" si="103"/>
        <v>#DIV/0!</v>
      </c>
      <c r="BA210" s="393" t="e">
        <f t="shared" si="104"/>
        <v>#DIV/0!</v>
      </c>
      <c r="BB210" s="393" t="e">
        <f t="shared" si="105"/>
        <v>#DIV/0!</v>
      </c>
    </row>
    <row r="211" spans="1:54" x14ac:dyDescent="0.25">
      <c r="A211" s="361" t="s">
        <v>2875</v>
      </c>
      <c r="B211" s="480"/>
      <c r="C211" s="480"/>
      <c r="D211" s="480"/>
      <c r="E211" s="480"/>
      <c r="F211" s="480"/>
      <c r="G211" s="480"/>
      <c r="H211" s="480"/>
      <c r="I211" s="480"/>
      <c r="J211" s="480"/>
      <c r="K211" s="480"/>
      <c r="L211" s="480"/>
      <c r="M211" s="480"/>
      <c r="N211" s="480"/>
      <c r="O211" s="480"/>
      <c r="P211" s="480"/>
      <c r="Q211" s="480"/>
      <c r="R211" s="480"/>
      <c r="S211" s="480"/>
      <c r="T211" s="480"/>
      <c r="U211" s="480"/>
      <c r="V211" s="481">
        <f>684/1200</f>
        <v>0.56999999999999995</v>
      </c>
      <c r="W211" s="481">
        <f>714/1200</f>
        <v>0.59499999999999997</v>
      </c>
      <c r="X211" s="481"/>
      <c r="Y211" s="481"/>
      <c r="Z211" s="481"/>
      <c r="AA211" s="481"/>
      <c r="AB211" s="481"/>
      <c r="AC211" s="393" t="e">
        <f t="shared" si="80"/>
        <v>#DIV/0!</v>
      </c>
      <c r="AD211" s="393" t="e">
        <f t="shared" si="81"/>
        <v>#DIV/0!</v>
      </c>
      <c r="AE211" s="393" t="e">
        <f t="shared" si="82"/>
        <v>#DIV/0!</v>
      </c>
      <c r="AF211" s="393" t="e">
        <f t="shared" si="83"/>
        <v>#DIV/0!</v>
      </c>
      <c r="AG211" s="393" t="e">
        <f t="shared" si="84"/>
        <v>#DIV/0!</v>
      </c>
      <c r="AH211" s="393" t="e">
        <f t="shared" si="85"/>
        <v>#DIV/0!</v>
      </c>
      <c r="AI211" s="393" t="e">
        <f t="shared" si="86"/>
        <v>#DIV/0!</v>
      </c>
      <c r="AJ211" s="393" t="e">
        <f t="shared" si="87"/>
        <v>#DIV/0!</v>
      </c>
      <c r="AK211" s="393" t="e">
        <f t="shared" si="88"/>
        <v>#DIV/0!</v>
      </c>
      <c r="AL211" s="393" t="e">
        <f t="shared" si="89"/>
        <v>#DIV/0!</v>
      </c>
      <c r="AM211" s="393" t="e">
        <f t="shared" si="90"/>
        <v>#DIV/0!</v>
      </c>
      <c r="AN211" s="393" t="e">
        <f t="shared" si="91"/>
        <v>#DIV/0!</v>
      </c>
      <c r="AO211" s="393" t="e">
        <f t="shared" si="92"/>
        <v>#DIV/0!</v>
      </c>
      <c r="AP211" s="393" t="e">
        <f t="shared" si="93"/>
        <v>#DIV/0!</v>
      </c>
      <c r="AQ211" s="393" t="e">
        <f t="shared" si="94"/>
        <v>#DIV/0!</v>
      </c>
      <c r="AR211" s="393" t="e">
        <f t="shared" si="95"/>
        <v>#DIV/0!</v>
      </c>
      <c r="AS211" s="393" t="e">
        <f t="shared" si="96"/>
        <v>#DIV/0!</v>
      </c>
      <c r="AT211" s="393" t="e">
        <f t="shared" si="97"/>
        <v>#DIV/0!</v>
      </c>
      <c r="AU211" s="393" t="e">
        <f t="shared" si="98"/>
        <v>#DIV/0!</v>
      </c>
      <c r="AV211" s="393" t="e">
        <f t="shared" si="99"/>
        <v>#DIV/0!</v>
      </c>
      <c r="AW211" s="393">
        <f t="shared" si="100"/>
        <v>4.3860000000000001</v>
      </c>
      <c r="AX211" s="393">
        <f t="shared" si="101"/>
        <v>-100</v>
      </c>
      <c r="AY211" s="393" t="e">
        <f t="shared" si="102"/>
        <v>#DIV/0!</v>
      </c>
      <c r="AZ211" s="393" t="e">
        <f t="shared" si="103"/>
        <v>#DIV/0!</v>
      </c>
      <c r="BA211" s="393" t="e">
        <f t="shared" si="104"/>
        <v>#DIV/0!</v>
      </c>
      <c r="BB211" s="393" t="e">
        <f t="shared" si="105"/>
        <v>#DIV/0!</v>
      </c>
    </row>
    <row r="212" spans="1:54" x14ac:dyDescent="0.25">
      <c r="A212" s="566" t="s">
        <v>3291</v>
      </c>
      <c r="B212" s="480">
        <f>1193/1800</f>
        <v>0.66279999999999994</v>
      </c>
      <c r="C212" s="480">
        <f>1251/1800</f>
        <v>0.69499999999999995</v>
      </c>
      <c r="D212" s="480">
        <f>1240/1800</f>
        <v>0.68889999999999996</v>
      </c>
      <c r="E212" s="480">
        <f>1284/1800</f>
        <v>0.71330000000000005</v>
      </c>
      <c r="F212" s="480">
        <f>814/1200</f>
        <v>0.67830000000000001</v>
      </c>
      <c r="G212" s="480">
        <f>1670/2400</f>
        <v>0.69579999999999997</v>
      </c>
      <c r="H212" s="480">
        <f>797/1200</f>
        <v>0.66420000000000001</v>
      </c>
      <c r="I212" s="480"/>
      <c r="J212" s="480"/>
      <c r="K212" s="480"/>
      <c r="L212" s="480"/>
      <c r="M212" s="480"/>
      <c r="N212" s="480"/>
      <c r="O212" s="480"/>
      <c r="P212" s="480"/>
      <c r="Q212" s="480"/>
      <c r="R212" s="480"/>
      <c r="S212" s="480"/>
      <c r="T212" s="480"/>
      <c r="U212" s="480"/>
      <c r="V212" s="480"/>
      <c r="W212" s="480"/>
      <c r="X212" s="480"/>
      <c r="Y212" s="480"/>
      <c r="Z212" s="480"/>
      <c r="AA212" s="480"/>
      <c r="AB212" s="480"/>
      <c r="AC212" s="393">
        <f t="shared" si="80"/>
        <v>4.8579999999999997</v>
      </c>
      <c r="AD212" s="393">
        <f t="shared" si="81"/>
        <v>-0.878</v>
      </c>
      <c r="AE212" s="393">
        <f t="shared" si="82"/>
        <v>3.5419999999999998</v>
      </c>
      <c r="AF212" s="393">
        <f t="shared" si="83"/>
        <v>-4.907</v>
      </c>
      <c r="AG212" s="393">
        <f t="shared" si="84"/>
        <v>2.58</v>
      </c>
      <c r="AH212" s="393">
        <f t="shared" si="85"/>
        <v>-4.5419999999999998</v>
      </c>
      <c r="AI212" s="393">
        <f t="shared" si="86"/>
        <v>-100</v>
      </c>
      <c r="AJ212" s="393" t="e">
        <f t="shared" si="87"/>
        <v>#DIV/0!</v>
      </c>
      <c r="AK212" s="393" t="e">
        <f t="shared" si="88"/>
        <v>#DIV/0!</v>
      </c>
      <c r="AL212" s="393" t="e">
        <f t="shared" si="89"/>
        <v>#DIV/0!</v>
      </c>
      <c r="AM212" s="393" t="e">
        <f t="shared" si="90"/>
        <v>#DIV/0!</v>
      </c>
      <c r="AN212" s="393" t="e">
        <f t="shared" si="91"/>
        <v>#DIV/0!</v>
      </c>
      <c r="AO212" s="393" t="e">
        <f t="shared" si="92"/>
        <v>#DIV/0!</v>
      </c>
      <c r="AP212" s="393" t="e">
        <f t="shared" si="93"/>
        <v>#DIV/0!</v>
      </c>
      <c r="AQ212" s="393" t="e">
        <f t="shared" si="94"/>
        <v>#DIV/0!</v>
      </c>
      <c r="AR212" s="393" t="e">
        <f t="shared" si="95"/>
        <v>#DIV/0!</v>
      </c>
      <c r="AS212" s="393" t="e">
        <f t="shared" si="96"/>
        <v>#DIV/0!</v>
      </c>
      <c r="AT212" s="393" t="e">
        <f t="shared" si="97"/>
        <v>#DIV/0!</v>
      </c>
      <c r="AU212" s="393" t="e">
        <f t="shared" si="98"/>
        <v>#DIV/0!</v>
      </c>
      <c r="AV212" s="393" t="e">
        <f t="shared" si="99"/>
        <v>#DIV/0!</v>
      </c>
      <c r="AW212" s="393" t="e">
        <f t="shared" si="100"/>
        <v>#DIV/0!</v>
      </c>
      <c r="AX212" s="393" t="e">
        <f t="shared" si="101"/>
        <v>#DIV/0!</v>
      </c>
      <c r="AY212" s="393" t="e">
        <f t="shared" si="102"/>
        <v>#DIV/0!</v>
      </c>
      <c r="AZ212" s="393" t="e">
        <f t="shared" si="103"/>
        <v>#DIV/0!</v>
      </c>
      <c r="BA212" s="393" t="e">
        <f t="shared" si="104"/>
        <v>#DIV/0!</v>
      </c>
      <c r="BB212" s="393" t="e">
        <f t="shared" si="105"/>
        <v>#DIV/0!</v>
      </c>
    </row>
    <row r="213" spans="1:54" x14ac:dyDescent="0.25">
      <c r="A213" s="355" t="s">
        <v>2145</v>
      </c>
      <c r="B213" s="480"/>
      <c r="C213" s="480"/>
      <c r="D213" s="480">
        <f>1189/1800</f>
        <v>0.66059999999999997</v>
      </c>
      <c r="E213" s="480">
        <f>1060/1800</f>
        <v>0.58889999999999998</v>
      </c>
      <c r="F213" s="480">
        <f>769/1200</f>
        <v>0.64080000000000004</v>
      </c>
      <c r="G213" s="480">
        <f>1666/2400</f>
        <v>0.69420000000000004</v>
      </c>
      <c r="H213" s="480">
        <f>793/1200</f>
        <v>0.66080000000000005</v>
      </c>
      <c r="I213" s="480">
        <f>818/1200</f>
        <v>0.68169999999999997</v>
      </c>
      <c r="J213" s="480">
        <f>785/1200</f>
        <v>0.6542</v>
      </c>
      <c r="K213" s="480">
        <f>806/1200</f>
        <v>0.67169999999999996</v>
      </c>
      <c r="L213" s="480">
        <f>824/1200</f>
        <v>0.68669999999999998</v>
      </c>
      <c r="M213" s="480">
        <f>804/1200</f>
        <v>0.67</v>
      </c>
      <c r="N213" s="480"/>
      <c r="O213" s="480"/>
      <c r="P213" s="480"/>
      <c r="Q213" s="480"/>
      <c r="R213" s="480"/>
      <c r="S213" s="480"/>
      <c r="T213" s="480"/>
      <c r="U213" s="480"/>
      <c r="V213" s="480"/>
      <c r="W213" s="480"/>
      <c r="X213" s="480"/>
      <c r="Y213" s="480"/>
      <c r="Z213" s="480"/>
      <c r="AA213" s="480"/>
      <c r="AB213" s="480"/>
      <c r="AC213" s="393" t="e">
        <f t="shared" si="80"/>
        <v>#DIV/0!</v>
      </c>
      <c r="AD213" s="393" t="e">
        <f t="shared" si="81"/>
        <v>#DIV/0!</v>
      </c>
      <c r="AE213" s="393">
        <f t="shared" si="82"/>
        <v>-10.853999999999999</v>
      </c>
      <c r="AF213" s="393">
        <f t="shared" si="83"/>
        <v>8.8130000000000006</v>
      </c>
      <c r="AG213" s="393">
        <f t="shared" si="84"/>
        <v>8.3330000000000002</v>
      </c>
      <c r="AH213" s="393">
        <f t="shared" si="85"/>
        <v>-4.8109999999999999</v>
      </c>
      <c r="AI213" s="393">
        <f t="shared" si="86"/>
        <v>3.1629999999999998</v>
      </c>
      <c r="AJ213" s="393">
        <f t="shared" si="87"/>
        <v>-4.0339999999999998</v>
      </c>
      <c r="AK213" s="393">
        <f t="shared" si="88"/>
        <v>2.6749999999999998</v>
      </c>
      <c r="AL213" s="393">
        <f t="shared" si="89"/>
        <v>2.2330000000000001</v>
      </c>
      <c r="AM213" s="393">
        <f t="shared" si="90"/>
        <v>-2.4319999999999999</v>
      </c>
      <c r="AN213" s="393">
        <f t="shared" si="91"/>
        <v>-100</v>
      </c>
      <c r="AO213" s="393" t="e">
        <f t="shared" si="92"/>
        <v>#DIV/0!</v>
      </c>
      <c r="AP213" s="393" t="e">
        <f t="shared" si="93"/>
        <v>#DIV/0!</v>
      </c>
      <c r="AQ213" s="393" t="e">
        <f t="shared" si="94"/>
        <v>#DIV/0!</v>
      </c>
      <c r="AR213" s="393" t="e">
        <f t="shared" si="95"/>
        <v>#DIV/0!</v>
      </c>
      <c r="AS213" s="393" t="e">
        <f t="shared" si="96"/>
        <v>#DIV/0!</v>
      </c>
      <c r="AT213" s="393" t="e">
        <f t="shared" si="97"/>
        <v>#DIV/0!</v>
      </c>
      <c r="AU213" s="393" t="e">
        <f t="shared" si="98"/>
        <v>#DIV/0!</v>
      </c>
      <c r="AV213" s="393" t="e">
        <f t="shared" si="99"/>
        <v>#DIV/0!</v>
      </c>
      <c r="AW213" s="393" t="e">
        <f t="shared" si="100"/>
        <v>#DIV/0!</v>
      </c>
      <c r="AX213" s="393" t="e">
        <f t="shared" si="101"/>
        <v>#DIV/0!</v>
      </c>
      <c r="AY213" s="393" t="e">
        <f t="shared" si="102"/>
        <v>#DIV/0!</v>
      </c>
      <c r="AZ213" s="393" t="e">
        <f t="shared" si="103"/>
        <v>#DIV/0!</v>
      </c>
      <c r="BA213" s="393" t="e">
        <f t="shared" si="104"/>
        <v>#DIV/0!</v>
      </c>
      <c r="BB213" s="393" t="e">
        <f t="shared" si="105"/>
        <v>#DIV/0!</v>
      </c>
    </row>
    <row r="214" spans="1:54" x14ac:dyDescent="0.25">
      <c r="A214" s="360" t="s">
        <v>2238</v>
      </c>
      <c r="B214" s="480"/>
      <c r="C214" s="480"/>
      <c r="D214" s="480"/>
      <c r="E214" s="480"/>
      <c r="F214" s="480">
        <f>783/1200</f>
        <v>0.65249999999999997</v>
      </c>
      <c r="G214" s="480"/>
      <c r="H214" s="480"/>
      <c r="I214" s="480"/>
      <c r="J214" s="480"/>
      <c r="K214" s="480"/>
      <c r="L214" s="480"/>
      <c r="M214" s="480"/>
      <c r="N214" s="480"/>
      <c r="O214" s="480"/>
      <c r="P214" s="480"/>
      <c r="Q214" s="480"/>
      <c r="R214" s="480"/>
      <c r="S214" s="480"/>
      <c r="T214" s="480"/>
      <c r="U214" s="480"/>
      <c r="V214" s="480"/>
      <c r="W214" s="480"/>
      <c r="X214" s="480"/>
      <c r="Y214" s="480"/>
      <c r="Z214" s="480"/>
      <c r="AA214" s="480"/>
      <c r="AB214" s="480"/>
      <c r="AC214" s="393" t="e">
        <f t="shared" si="80"/>
        <v>#DIV/0!</v>
      </c>
      <c r="AD214" s="393" t="e">
        <f t="shared" si="81"/>
        <v>#DIV/0!</v>
      </c>
      <c r="AE214" s="393" t="e">
        <f t="shared" si="82"/>
        <v>#DIV/0!</v>
      </c>
      <c r="AF214" s="393" t="e">
        <f t="shared" si="83"/>
        <v>#DIV/0!</v>
      </c>
      <c r="AG214" s="393">
        <f t="shared" si="84"/>
        <v>-100</v>
      </c>
      <c r="AH214" s="393" t="e">
        <f t="shared" si="85"/>
        <v>#DIV/0!</v>
      </c>
      <c r="AI214" s="393" t="e">
        <f t="shared" si="86"/>
        <v>#DIV/0!</v>
      </c>
      <c r="AJ214" s="393" t="e">
        <f t="shared" si="87"/>
        <v>#DIV/0!</v>
      </c>
      <c r="AK214" s="393" t="e">
        <f t="shared" si="88"/>
        <v>#DIV/0!</v>
      </c>
      <c r="AL214" s="393" t="e">
        <f t="shared" si="89"/>
        <v>#DIV/0!</v>
      </c>
      <c r="AM214" s="393" t="e">
        <f t="shared" si="90"/>
        <v>#DIV/0!</v>
      </c>
      <c r="AN214" s="393" t="e">
        <f t="shared" si="91"/>
        <v>#DIV/0!</v>
      </c>
      <c r="AO214" s="393" t="e">
        <f t="shared" si="92"/>
        <v>#DIV/0!</v>
      </c>
      <c r="AP214" s="393" t="e">
        <f t="shared" si="93"/>
        <v>#DIV/0!</v>
      </c>
      <c r="AQ214" s="393" t="e">
        <f t="shared" si="94"/>
        <v>#DIV/0!</v>
      </c>
      <c r="AR214" s="393" t="e">
        <f t="shared" si="95"/>
        <v>#DIV/0!</v>
      </c>
      <c r="AS214" s="393" t="e">
        <f t="shared" si="96"/>
        <v>#DIV/0!</v>
      </c>
      <c r="AT214" s="393" t="e">
        <f t="shared" si="97"/>
        <v>#DIV/0!</v>
      </c>
      <c r="AU214" s="393" t="e">
        <f t="shared" si="98"/>
        <v>#DIV/0!</v>
      </c>
      <c r="AV214" s="393" t="e">
        <f t="shared" si="99"/>
        <v>#DIV/0!</v>
      </c>
      <c r="AW214" s="393" t="e">
        <f t="shared" si="100"/>
        <v>#DIV/0!</v>
      </c>
      <c r="AX214" s="393" t="e">
        <f t="shared" si="101"/>
        <v>#DIV/0!</v>
      </c>
      <c r="AY214" s="393" t="e">
        <f t="shared" si="102"/>
        <v>#DIV/0!</v>
      </c>
      <c r="AZ214" s="393" t="e">
        <f t="shared" si="103"/>
        <v>#DIV/0!</v>
      </c>
      <c r="BA214" s="393" t="e">
        <f t="shared" si="104"/>
        <v>#DIV/0!</v>
      </c>
      <c r="BB214" s="393" t="e">
        <f t="shared" si="105"/>
        <v>#DIV/0!</v>
      </c>
    </row>
    <row r="215" spans="1:54" x14ac:dyDescent="0.25">
      <c r="A215" s="361" t="s">
        <v>3116</v>
      </c>
      <c r="B215" s="480"/>
      <c r="C215" s="480">
        <f>1195/1800</f>
        <v>0.66390000000000005</v>
      </c>
      <c r="D215" s="480"/>
      <c r="E215" s="480"/>
      <c r="F215" s="480"/>
      <c r="G215" s="480"/>
      <c r="H215" s="480"/>
      <c r="I215" s="480"/>
      <c r="J215" s="480"/>
      <c r="K215" s="480"/>
      <c r="L215" s="480"/>
      <c r="M215" s="480"/>
      <c r="N215" s="480"/>
      <c r="O215" s="480"/>
      <c r="P215" s="480"/>
      <c r="Q215" s="480"/>
      <c r="R215" s="480"/>
      <c r="S215" s="480"/>
      <c r="T215" s="480"/>
      <c r="U215" s="480">
        <f>1215/1800</f>
        <v>0.67500000000000004</v>
      </c>
      <c r="V215" s="480"/>
      <c r="W215" s="480"/>
      <c r="X215" s="480"/>
      <c r="Y215" s="480"/>
      <c r="Z215" s="480"/>
      <c r="AA215" s="480"/>
      <c r="AB215" s="480"/>
      <c r="AC215" s="393" t="e">
        <f t="shared" si="80"/>
        <v>#DIV/0!</v>
      </c>
      <c r="AD215" s="393">
        <f t="shared" si="81"/>
        <v>-100</v>
      </c>
      <c r="AE215" s="393" t="e">
        <f t="shared" si="82"/>
        <v>#DIV/0!</v>
      </c>
      <c r="AF215" s="393" t="e">
        <f t="shared" si="83"/>
        <v>#DIV/0!</v>
      </c>
      <c r="AG215" s="393" t="e">
        <f t="shared" si="84"/>
        <v>#DIV/0!</v>
      </c>
      <c r="AH215" s="393" t="e">
        <f t="shared" si="85"/>
        <v>#DIV/0!</v>
      </c>
      <c r="AI215" s="393" t="e">
        <f t="shared" si="86"/>
        <v>#DIV/0!</v>
      </c>
      <c r="AJ215" s="393" t="e">
        <f t="shared" si="87"/>
        <v>#DIV/0!</v>
      </c>
      <c r="AK215" s="393" t="e">
        <f t="shared" si="88"/>
        <v>#DIV/0!</v>
      </c>
      <c r="AL215" s="393" t="e">
        <f t="shared" si="89"/>
        <v>#DIV/0!</v>
      </c>
      <c r="AM215" s="393" t="e">
        <f t="shared" si="90"/>
        <v>#DIV/0!</v>
      </c>
      <c r="AN215" s="393" t="e">
        <f t="shared" si="91"/>
        <v>#DIV/0!</v>
      </c>
      <c r="AO215" s="393" t="e">
        <f t="shared" si="92"/>
        <v>#DIV/0!</v>
      </c>
      <c r="AP215" s="393" t="e">
        <f t="shared" si="93"/>
        <v>#DIV/0!</v>
      </c>
      <c r="AQ215" s="393" t="e">
        <f t="shared" si="94"/>
        <v>#DIV/0!</v>
      </c>
      <c r="AR215" s="393" t="e">
        <f t="shared" si="95"/>
        <v>#DIV/0!</v>
      </c>
      <c r="AS215" s="393" t="e">
        <f t="shared" si="96"/>
        <v>#DIV/0!</v>
      </c>
      <c r="AT215" s="393" t="e">
        <f t="shared" si="97"/>
        <v>#DIV/0!</v>
      </c>
      <c r="AU215" s="393" t="e">
        <f t="shared" si="98"/>
        <v>#DIV/0!</v>
      </c>
      <c r="AV215" s="393">
        <f t="shared" si="99"/>
        <v>-100</v>
      </c>
      <c r="AW215" s="393" t="e">
        <f t="shared" si="100"/>
        <v>#DIV/0!</v>
      </c>
      <c r="AX215" s="393" t="e">
        <f t="shared" si="101"/>
        <v>#DIV/0!</v>
      </c>
      <c r="AY215" s="393" t="e">
        <f t="shared" si="102"/>
        <v>#DIV/0!</v>
      </c>
      <c r="AZ215" s="393" t="e">
        <f t="shared" si="103"/>
        <v>#DIV/0!</v>
      </c>
      <c r="BA215" s="393" t="e">
        <f t="shared" si="104"/>
        <v>#DIV/0!</v>
      </c>
      <c r="BB215" s="393" t="e">
        <f t="shared" si="105"/>
        <v>#DIV/0!</v>
      </c>
    </row>
    <row r="216" spans="1:54" x14ac:dyDescent="0.25">
      <c r="A216" s="565" t="s">
        <v>3945</v>
      </c>
      <c r="B216" s="480"/>
      <c r="C216" s="480">
        <f>1383/1800</f>
        <v>0.76829999999999998</v>
      </c>
      <c r="D216" s="480">
        <f>1255/1800</f>
        <v>0.69720000000000004</v>
      </c>
      <c r="E216" s="480"/>
      <c r="F216" s="480"/>
      <c r="G216" s="480"/>
      <c r="H216" s="480"/>
      <c r="I216" s="480"/>
      <c r="J216" s="480"/>
      <c r="K216" s="480"/>
      <c r="L216" s="480"/>
      <c r="M216" s="480"/>
      <c r="N216" s="480"/>
      <c r="O216" s="480"/>
      <c r="P216" s="480"/>
      <c r="Q216" s="480"/>
      <c r="R216" s="480"/>
      <c r="S216" s="480"/>
      <c r="T216" s="480"/>
      <c r="U216" s="480"/>
      <c r="V216" s="480"/>
      <c r="W216" s="480"/>
      <c r="X216" s="480"/>
      <c r="Y216" s="480"/>
      <c r="Z216" s="480"/>
      <c r="AA216" s="480"/>
      <c r="AB216" s="480"/>
      <c r="AC216" s="393" t="e">
        <f t="shared" si="80"/>
        <v>#DIV/0!</v>
      </c>
      <c r="AD216" s="393">
        <f t="shared" si="81"/>
        <v>-9.2539999999999996</v>
      </c>
      <c r="AE216" s="393">
        <f t="shared" si="82"/>
        <v>-100</v>
      </c>
      <c r="AF216" s="393" t="e">
        <f t="shared" si="83"/>
        <v>#DIV/0!</v>
      </c>
      <c r="AG216" s="393" t="e">
        <f t="shared" si="84"/>
        <v>#DIV/0!</v>
      </c>
      <c r="AH216" s="393" t="e">
        <f t="shared" si="85"/>
        <v>#DIV/0!</v>
      </c>
      <c r="AI216" s="393" t="e">
        <f t="shared" si="86"/>
        <v>#DIV/0!</v>
      </c>
      <c r="AJ216" s="393" t="e">
        <f t="shared" si="87"/>
        <v>#DIV/0!</v>
      </c>
      <c r="AK216" s="393" t="e">
        <f t="shared" si="88"/>
        <v>#DIV/0!</v>
      </c>
      <c r="AL216" s="393" t="e">
        <f t="shared" si="89"/>
        <v>#DIV/0!</v>
      </c>
      <c r="AM216" s="393" t="e">
        <f t="shared" si="90"/>
        <v>#DIV/0!</v>
      </c>
      <c r="AN216" s="393" t="e">
        <f t="shared" si="91"/>
        <v>#DIV/0!</v>
      </c>
      <c r="AO216" s="393" t="e">
        <f t="shared" si="92"/>
        <v>#DIV/0!</v>
      </c>
      <c r="AP216" s="393" t="e">
        <f t="shared" si="93"/>
        <v>#DIV/0!</v>
      </c>
      <c r="AQ216" s="393" t="e">
        <f t="shared" si="94"/>
        <v>#DIV/0!</v>
      </c>
      <c r="AR216" s="393" t="e">
        <f t="shared" si="95"/>
        <v>#DIV/0!</v>
      </c>
      <c r="AS216" s="393" t="e">
        <f t="shared" si="96"/>
        <v>#DIV/0!</v>
      </c>
      <c r="AT216" s="393" t="e">
        <f t="shared" si="97"/>
        <v>#DIV/0!</v>
      </c>
      <c r="AU216" s="393" t="e">
        <f t="shared" si="98"/>
        <v>#DIV/0!</v>
      </c>
      <c r="AV216" s="393" t="e">
        <f t="shared" si="99"/>
        <v>#DIV/0!</v>
      </c>
      <c r="AW216" s="393" t="e">
        <f t="shared" si="100"/>
        <v>#DIV/0!</v>
      </c>
      <c r="AX216" s="393" t="e">
        <f t="shared" si="101"/>
        <v>#DIV/0!</v>
      </c>
      <c r="AY216" s="393" t="e">
        <f t="shared" si="102"/>
        <v>#DIV/0!</v>
      </c>
      <c r="AZ216" s="393" t="e">
        <f t="shared" si="103"/>
        <v>#DIV/0!</v>
      </c>
      <c r="BA216" s="393" t="e">
        <f t="shared" si="104"/>
        <v>#DIV/0!</v>
      </c>
      <c r="BB216" s="393" t="e">
        <f t="shared" si="105"/>
        <v>#DIV/0!</v>
      </c>
    </row>
    <row r="217" spans="1:54" x14ac:dyDescent="0.25">
      <c r="A217" s="360" t="s">
        <v>2613</v>
      </c>
      <c r="B217" s="480"/>
      <c r="C217" s="480"/>
      <c r="D217" s="480"/>
      <c r="E217" s="480"/>
      <c r="F217" s="480"/>
      <c r="G217" s="480">
        <f>1254/2400</f>
        <v>0.52249999999999996</v>
      </c>
      <c r="H217" s="480">
        <f>612/1200</f>
        <v>0.51</v>
      </c>
      <c r="I217" s="480"/>
      <c r="J217" s="480"/>
      <c r="K217" s="480"/>
      <c r="L217" s="480"/>
      <c r="M217" s="480"/>
      <c r="N217" s="480"/>
      <c r="O217" s="480"/>
      <c r="P217" s="480"/>
      <c r="Q217" s="480"/>
      <c r="R217" s="480"/>
      <c r="S217" s="480"/>
      <c r="T217" s="480"/>
      <c r="U217" s="480"/>
      <c r="V217" s="480"/>
      <c r="W217" s="480"/>
      <c r="X217" s="480"/>
      <c r="Y217" s="480"/>
      <c r="Z217" s="480"/>
      <c r="AA217" s="480"/>
      <c r="AB217" s="480"/>
      <c r="AC217" s="393" t="e">
        <f t="shared" si="80"/>
        <v>#DIV/0!</v>
      </c>
      <c r="AD217" s="393" t="e">
        <f t="shared" si="81"/>
        <v>#DIV/0!</v>
      </c>
      <c r="AE217" s="393" t="e">
        <f t="shared" si="82"/>
        <v>#DIV/0!</v>
      </c>
      <c r="AF217" s="393" t="e">
        <f t="shared" si="83"/>
        <v>#DIV/0!</v>
      </c>
      <c r="AG217" s="393" t="e">
        <f t="shared" si="84"/>
        <v>#DIV/0!</v>
      </c>
      <c r="AH217" s="393">
        <f t="shared" si="85"/>
        <v>-2.3919999999999999</v>
      </c>
      <c r="AI217" s="393">
        <f t="shared" si="86"/>
        <v>-100</v>
      </c>
      <c r="AJ217" s="393" t="e">
        <f t="shared" si="87"/>
        <v>#DIV/0!</v>
      </c>
      <c r="AK217" s="393" t="e">
        <f t="shared" si="88"/>
        <v>#DIV/0!</v>
      </c>
      <c r="AL217" s="393" t="e">
        <f t="shared" si="89"/>
        <v>#DIV/0!</v>
      </c>
      <c r="AM217" s="393" t="e">
        <f t="shared" si="90"/>
        <v>#DIV/0!</v>
      </c>
      <c r="AN217" s="393" t="e">
        <f t="shared" si="91"/>
        <v>#DIV/0!</v>
      </c>
      <c r="AO217" s="393" t="e">
        <f t="shared" si="92"/>
        <v>#DIV/0!</v>
      </c>
      <c r="AP217" s="393" t="e">
        <f t="shared" si="93"/>
        <v>#DIV/0!</v>
      </c>
      <c r="AQ217" s="393" t="e">
        <f t="shared" si="94"/>
        <v>#DIV/0!</v>
      </c>
      <c r="AR217" s="393" t="e">
        <f t="shared" si="95"/>
        <v>#DIV/0!</v>
      </c>
      <c r="AS217" s="393" t="e">
        <f t="shared" si="96"/>
        <v>#DIV/0!</v>
      </c>
      <c r="AT217" s="393" t="e">
        <f t="shared" si="97"/>
        <v>#DIV/0!</v>
      </c>
      <c r="AU217" s="393" t="e">
        <f t="shared" si="98"/>
        <v>#DIV/0!</v>
      </c>
      <c r="AV217" s="393" t="e">
        <f t="shared" si="99"/>
        <v>#DIV/0!</v>
      </c>
      <c r="AW217" s="393" t="e">
        <f t="shared" si="100"/>
        <v>#DIV/0!</v>
      </c>
      <c r="AX217" s="393" t="e">
        <f t="shared" si="101"/>
        <v>#DIV/0!</v>
      </c>
      <c r="AY217" s="393" t="e">
        <f t="shared" si="102"/>
        <v>#DIV/0!</v>
      </c>
      <c r="AZ217" s="393" t="e">
        <f t="shared" si="103"/>
        <v>#DIV/0!</v>
      </c>
      <c r="BA217" s="393" t="e">
        <f t="shared" si="104"/>
        <v>#DIV/0!</v>
      </c>
      <c r="BB217" s="393" t="e">
        <f t="shared" si="105"/>
        <v>#DIV/0!</v>
      </c>
    </row>
    <row r="218" spans="1:54" x14ac:dyDescent="0.25">
      <c r="A218" s="361" t="s">
        <v>954</v>
      </c>
      <c r="B218" s="480"/>
      <c r="C218" s="480"/>
      <c r="D218" s="480"/>
      <c r="E218" s="480"/>
      <c r="F218" s="480"/>
      <c r="G218" s="480"/>
      <c r="H218" s="480"/>
      <c r="I218" s="480"/>
      <c r="J218" s="480"/>
      <c r="K218" s="480"/>
      <c r="L218" s="480"/>
      <c r="M218" s="480"/>
      <c r="N218" s="480"/>
      <c r="O218" s="480"/>
      <c r="P218" s="480"/>
      <c r="Q218" s="480"/>
      <c r="R218" s="480"/>
      <c r="S218" s="480"/>
      <c r="T218" s="480"/>
      <c r="U218" s="480"/>
      <c r="V218" s="481"/>
      <c r="W218" s="481">
        <f>878/1200</f>
        <v>0.73170000000000002</v>
      </c>
      <c r="X218" s="481">
        <f>1345/1800</f>
        <v>0.74719999999999998</v>
      </c>
      <c r="Y218" s="481">
        <f>1352/1800</f>
        <v>0.75109999999999999</v>
      </c>
      <c r="Z218" s="481"/>
      <c r="AA218" s="481"/>
      <c r="AB218" s="481"/>
      <c r="AC218" s="393" t="e">
        <f t="shared" si="80"/>
        <v>#DIV/0!</v>
      </c>
      <c r="AD218" s="393" t="e">
        <f t="shared" si="81"/>
        <v>#DIV/0!</v>
      </c>
      <c r="AE218" s="393" t="e">
        <f t="shared" si="82"/>
        <v>#DIV/0!</v>
      </c>
      <c r="AF218" s="393" t="e">
        <f t="shared" si="83"/>
        <v>#DIV/0!</v>
      </c>
      <c r="AG218" s="393" t="e">
        <f t="shared" si="84"/>
        <v>#DIV/0!</v>
      </c>
      <c r="AH218" s="393" t="e">
        <f t="shared" si="85"/>
        <v>#DIV/0!</v>
      </c>
      <c r="AI218" s="393" t="e">
        <f t="shared" si="86"/>
        <v>#DIV/0!</v>
      </c>
      <c r="AJ218" s="393" t="e">
        <f t="shared" si="87"/>
        <v>#DIV/0!</v>
      </c>
      <c r="AK218" s="393" t="e">
        <f t="shared" si="88"/>
        <v>#DIV/0!</v>
      </c>
      <c r="AL218" s="393" t="e">
        <f t="shared" si="89"/>
        <v>#DIV/0!</v>
      </c>
      <c r="AM218" s="393" t="e">
        <f t="shared" si="90"/>
        <v>#DIV/0!</v>
      </c>
      <c r="AN218" s="393" t="e">
        <f t="shared" si="91"/>
        <v>#DIV/0!</v>
      </c>
      <c r="AO218" s="393" t="e">
        <f t="shared" si="92"/>
        <v>#DIV/0!</v>
      </c>
      <c r="AP218" s="393" t="e">
        <f t="shared" si="93"/>
        <v>#DIV/0!</v>
      </c>
      <c r="AQ218" s="393" t="e">
        <f t="shared" si="94"/>
        <v>#DIV/0!</v>
      </c>
      <c r="AR218" s="393" t="e">
        <f t="shared" si="95"/>
        <v>#DIV/0!</v>
      </c>
      <c r="AS218" s="393" t="e">
        <f t="shared" si="96"/>
        <v>#DIV/0!</v>
      </c>
      <c r="AT218" s="393" t="e">
        <f t="shared" si="97"/>
        <v>#DIV/0!</v>
      </c>
      <c r="AU218" s="393" t="e">
        <f t="shared" si="98"/>
        <v>#DIV/0!</v>
      </c>
      <c r="AV218" s="393" t="e">
        <f t="shared" si="99"/>
        <v>#DIV/0!</v>
      </c>
      <c r="AW218" s="393" t="e">
        <f t="shared" si="100"/>
        <v>#DIV/0!</v>
      </c>
      <c r="AX218" s="393">
        <f t="shared" si="101"/>
        <v>2.1179999999999999</v>
      </c>
      <c r="AY218" s="393">
        <f t="shared" si="102"/>
        <v>0.52200000000000002</v>
      </c>
      <c r="AZ218" s="393">
        <f t="shared" si="103"/>
        <v>-100</v>
      </c>
      <c r="BA218" s="393" t="e">
        <f t="shared" si="104"/>
        <v>#DIV/0!</v>
      </c>
      <c r="BB218" s="393" t="e">
        <f t="shared" si="105"/>
        <v>#DIV/0!</v>
      </c>
    </row>
    <row r="219" spans="1:54" x14ac:dyDescent="0.25">
      <c r="A219" s="361" t="s">
        <v>956</v>
      </c>
      <c r="B219" s="480"/>
      <c r="C219" s="480"/>
      <c r="D219" s="480"/>
      <c r="E219" s="480"/>
      <c r="F219" s="480"/>
      <c r="G219" s="480"/>
      <c r="H219" s="480"/>
      <c r="I219" s="480"/>
      <c r="J219" s="480"/>
      <c r="K219" s="480"/>
      <c r="L219" s="480"/>
      <c r="M219" s="480"/>
      <c r="N219" s="480"/>
      <c r="O219" s="480"/>
      <c r="P219" s="480"/>
      <c r="Q219" s="480"/>
      <c r="R219" s="480"/>
      <c r="S219" s="480"/>
      <c r="T219" s="480"/>
      <c r="U219" s="480"/>
      <c r="V219" s="480"/>
      <c r="W219" s="480">
        <f>808/1200</f>
        <v>0.67330000000000001</v>
      </c>
      <c r="X219" s="480"/>
      <c r="Y219" s="480"/>
      <c r="Z219" s="480"/>
      <c r="AA219" s="480"/>
      <c r="AB219" s="480"/>
      <c r="AC219" s="393" t="e">
        <f t="shared" si="80"/>
        <v>#DIV/0!</v>
      </c>
      <c r="AD219" s="393" t="e">
        <f t="shared" si="81"/>
        <v>#DIV/0!</v>
      </c>
      <c r="AE219" s="393" t="e">
        <f t="shared" si="82"/>
        <v>#DIV/0!</v>
      </c>
      <c r="AF219" s="393" t="e">
        <f t="shared" si="83"/>
        <v>#DIV/0!</v>
      </c>
      <c r="AG219" s="393" t="e">
        <f t="shared" si="84"/>
        <v>#DIV/0!</v>
      </c>
      <c r="AH219" s="393" t="e">
        <f t="shared" si="85"/>
        <v>#DIV/0!</v>
      </c>
      <c r="AI219" s="393" t="e">
        <f t="shared" si="86"/>
        <v>#DIV/0!</v>
      </c>
      <c r="AJ219" s="393" t="e">
        <f t="shared" si="87"/>
        <v>#DIV/0!</v>
      </c>
      <c r="AK219" s="393" t="e">
        <f t="shared" si="88"/>
        <v>#DIV/0!</v>
      </c>
      <c r="AL219" s="393" t="e">
        <f t="shared" si="89"/>
        <v>#DIV/0!</v>
      </c>
      <c r="AM219" s="393" t="e">
        <f t="shared" si="90"/>
        <v>#DIV/0!</v>
      </c>
      <c r="AN219" s="393" t="e">
        <f t="shared" si="91"/>
        <v>#DIV/0!</v>
      </c>
      <c r="AO219" s="393" t="e">
        <f t="shared" si="92"/>
        <v>#DIV/0!</v>
      </c>
      <c r="AP219" s="393" t="e">
        <f t="shared" si="93"/>
        <v>#DIV/0!</v>
      </c>
      <c r="AQ219" s="393" t="e">
        <f t="shared" si="94"/>
        <v>#DIV/0!</v>
      </c>
      <c r="AR219" s="393" t="e">
        <f t="shared" si="95"/>
        <v>#DIV/0!</v>
      </c>
      <c r="AS219" s="393" t="e">
        <f t="shared" si="96"/>
        <v>#DIV/0!</v>
      </c>
      <c r="AT219" s="393" t="e">
        <f t="shared" si="97"/>
        <v>#DIV/0!</v>
      </c>
      <c r="AU219" s="393" t="e">
        <f t="shared" si="98"/>
        <v>#DIV/0!</v>
      </c>
      <c r="AV219" s="393" t="e">
        <f t="shared" si="99"/>
        <v>#DIV/0!</v>
      </c>
      <c r="AW219" s="393" t="e">
        <f t="shared" si="100"/>
        <v>#DIV/0!</v>
      </c>
      <c r="AX219" s="393">
        <f t="shared" si="101"/>
        <v>-100</v>
      </c>
      <c r="AY219" s="393" t="e">
        <f t="shared" si="102"/>
        <v>#DIV/0!</v>
      </c>
      <c r="AZ219" s="393" t="e">
        <f t="shared" si="103"/>
        <v>#DIV/0!</v>
      </c>
      <c r="BA219" s="393" t="e">
        <f t="shared" si="104"/>
        <v>#DIV/0!</v>
      </c>
      <c r="BB219" s="393" t="e">
        <f t="shared" si="105"/>
        <v>#DIV/0!</v>
      </c>
    </row>
    <row r="220" spans="1:54" x14ac:dyDescent="0.25">
      <c r="A220" s="361" t="s">
        <v>1609</v>
      </c>
      <c r="B220" s="480"/>
      <c r="C220" s="480"/>
      <c r="D220" s="480"/>
      <c r="E220" s="480"/>
      <c r="F220" s="480"/>
      <c r="G220" s="480"/>
      <c r="H220" s="480"/>
      <c r="I220" s="480"/>
      <c r="J220" s="480"/>
      <c r="K220" s="480"/>
      <c r="L220" s="480"/>
      <c r="M220" s="480"/>
      <c r="N220" s="480"/>
      <c r="O220" s="480"/>
      <c r="P220" s="480"/>
      <c r="Q220" s="480"/>
      <c r="R220" s="480"/>
      <c r="S220" s="480">
        <f>1026/1800</f>
        <v>0.56999999999999995</v>
      </c>
      <c r="T220" s="480"/>
      <c r="U220" s="480"/>
      <c r="V220" s="480"/>
      <c r="W220" s="480"/>
      <c r="X220" s="480"/>
      <c r="Y220" s="480"/>
      <c r="Z220" s="480"/>
      <c r="AA220" s="480"/>
      <c r="AB220" s="480"/>
      <c r="AC220" s="393" t="e">
        <f t="shared" si="80"/>
        <v>#DIV/0!</v>
      </c>
      <c r="AD220" s="393" t="e">
        <f t="shared" si="81"/>
        <v>#DIV/0!</v>
      </c>
      <c r="AE220" s="393" t="e">
        <f t="shared" si="82"/>
        <v>#DIV/0!</v>
      </c>
      <c r="AF220" s="393" t="e">
        <f t="shared" si="83"/>
        <v>#DIV/0!</v>
      </c>
      <c r="AG220" s="393" t="e">
        <f t="shared" si="84"/>
        <v>#DIV/0!</v>
      </c>
      <c r="AH220" s="393" t="e">
        <f t="shared" si="85"/>
        <v>#DIV/0!</v>
      </c>
      <c r="AI220" s="393" t="e">
        <f t="shared" si="86"/>
        <v>#DIV/0!</v>
      </c>
      <c r="AJ220" s="393" t="e">
        <f t="shared" si="87"/>
        <v>#DIV/0!</v>
      </c>
      <c r="AK220" s="393" t="e">
        <f t="shared" si="88"/>
        <v>#DIV/0!</v>
      </c>
      <c r="AL220" s="393" t="e">
        <f t="shared" si="89"/>
        <v>#DIV/0!</v>
      </c>
      <c r="AM220" s="393" t="e">
        <f t="shared" si="90"/>
        <v>#DIV/0!</v>
      </c>
      <c r="AN220" s="393" t="e">
        <f t="shared" si="91"/>
        <v>#DIV/0!</v>
      </c>
      <c r="AO220" s="393" t="e">
        <f t="shared" si="92"/>
        <v>#DIV/0!</v>
      </c>
      <c r="AP220" s="393" t="e">
        <f t="shared" si="93"/>
        <v>#DIV/0!</v>
      </c>
      <c r="AQ220" s="393" t="e">
        <f t="shared" si="94"/>
        <v>#DIV/0!</v>
      </c>
      <c r="AR220" s="393" t="e">
        <f t="shared" si="95"/>
        <v>#DIV/0!</v>
      </c>
      <c r="AS220" s="393" t="e">
        <f t="shared" si="96"/>
        <v>#DIV/0!</v>
      </c>
      <c r="AT220" s="393">
        <f t="shared" si="97"/>
        <v>-100</v>
      </c>
      <c r="AU220" s="393" t="e">
        <f t="shared" si="98"/>
        <v>#DIV/0!</v>
      </c>
      <c r="AV220" s="393" t="e">
        <f t="shared" si="99"/>
        <v>#DIV/0!</v>
      </c>
      <c r="AW220" s="393" t="e">
        <f t="shared" si="100"/>
        <v>#DIV/0!</v>
      </c>
      <c r="AX220" s="393" t="e">
        <f t="shared" si="101"/>
        <v>#DIV/0!</v>
      </c>
      <c r="AY220" s="393" t="e">
        <f t="shared" si="102"/>
        <v>#DIV/0!</v>
      </c>
      <c r="AZ220" s="393" t="e">
        <f t="shared" si="103"/>
        <v>#DIV/0!</v>
      </c>
      <c r="BA220" s="393" t="e">
        <f t="shared" si="104"/>
        <v>#DIV/0!</v>
      </c>
      <c r="BB220" s="393" t="e">
        <f t="shared" si="105"/>
        <v>#DIV/0!</v>
      </c>
    </row>
    <row r="221" spans="1:54" x14ac:dyDescent="0.25">
      <c r="A221" s="360" t="s">
        <v>1318</v>
      </c>
      <c r="B221" s="480"/>
      <c r="C221" s="480"/>
      <c r="D221" s="480">
        <f>638/1800</f>
        <v>0.35439999999999999</v>
      </c>
      <c r="E221" s="480"/>
      <c r="F221" s="480"/>
      <c r="G221" s="480"/>
      <c r="H221" s="480"/>
      <c r="I221" s="480"/>
      <c r="J221" s="480"/>
      <c r="K221" s="480"/>
      <c r="L221" s="480"/>
      <c r="M221" s="480"/>
      <c r="N221" s="480"/>
      <c r="O221" s="480"/>
      <c r="P221" s="480"/>
      <c r="Q221" s="480"/>
      <c r="R221" s="480"/>
      <c r="S221" s="480"/>
      <c r="T221" s="480"/>
      <c r="U221" s="480"/>
      <c r="V221" s="480"/>
      <c r="W221" s="480"/>
      <c r="X221" s="480"/>
      <c r="Y221" s="480"/>
      <c r="Z221" s="480"/>
      <c r="AA221" s="480"/>
      <c r="AB221" s="480"/>
      <c r="AC221" s="393" t="e">
        <f t="shared" si="80"/>
        <v>#DIV/0!</v>
      </c>
      <c r="AD221" s="393" t="e">
        <f t="shared" si="81"/>
        <v>#DIV/0!</v>
      </c>
      <c r="AE221" s="393">
        <f t="shared" si="82"/>
        <v>-100</v>
      </c>
      <c r="AF221" s="393" t="e">
        <f t="shared" si="83"/>
        <v>#DIV/0!</v>
      </c>
      <c r="AG221" s="393" t="e">
        <f t="shared" si="84"/>
        <v>#DIV/0!</v>
      </c>
      <c r="AH221" s="393" t="e">
        <f t="shared" si="85"/>
        <v>#DIV/0!</v>
      </c>
      <c r="AI221" s="393" t="e">
        <f t="shared" si="86"/>
        <v>#DIV/0!</v>
      </c>
      <c r="AJ221" s="393" t="e">
        <f t="shared" si="87"/>
        <v>#DIV/0!</v>
      </c>
      <c r="AK221" s="393" t="e">
        <f t="shared" si="88"/>
        <v>#DIV/0!</v>
      </c>
      <c r="AL221" s="393" t="e">
        <f t="shared" si="89"/>
        <v>#DIV/0!</v>
      </c>
      <c r="AM221" s="393" t="e">
        <f t="shared" si="90"/>
        <v>#DIV/0!</v>
      </c>
      <c r="AN221" s="393" t="e">
        <f t="shared" si="91"/>
        <v>#DIV/0!</v>
      </c>
      <c r="AO221" s="393" t="e">
        <f t="shared" si="92"/>
        <v>#DIV/0!</v>
      </c>
      <c r="AP221" s="393" t="e">
        <f t="shared" si="93"/>
        <v>#DIV/0!</v>
      </c>
      <c r="AQ221" s="393" t="e">
        <f t="shared" si="94"/>
        <v>#DIV/0!</v>
      </c>
      <c r="AR221" s="393" t="e">
        <f t="shared" si="95"/>
        <v>#DIV/0!</v>
      </c>
      <c r="AS221" s="393" t="e">
        <f t="shared" si="96"/>
        <v>#DIV/0!</v>
      </c>
      <c r="AT221" s="393" t="e">
        <f t="shared" si="97"/>
        <v>#DIV/0!</v>
      </c>
      <c r="AU221" s="393" t="e">
        <f t="shared" si="98"/>
        <v>#DIV/0!</v>
      </c>
      <c r="AV221" s="393" t="e">
        <f t="shared" si="99"/>
        <v>#DIV/0!</v>
      </c>
      <c r="AW221" s="393" t="e">
        <f t="shared" si="100"/>
        <v>#DIV/0!</v>
      </c>
      <c r="AX221" s="393" t="e">
        <f t="shared" si="101"/>
        <v>#DIV/0!</v>
      </c>
      <c r="AY221" s="393" t="e">
        <f t="shared" si="102"/>
        <v>#DIV/0!</v>
      </c>
      <c r="AZ221" s="393" t="e">
        <f t="shared" si="103"/>
        <v>#DIV/0!</v>
      </c>
      <c r="BA221" s="393" t="e">
        <f t="shared" si="104"/>
        <v>#DIV/0!</v>
      </c>
      <c r="BB221" s="393" t="e">
        <f t="shared" si="105"/>
        <v>#DIV/0!</v>
      </c>
    </row>
    <row r="222" spans="1:54" x14ac:dyDescent="0.25">
      <c r="A222" s="360" t="s">
        <v>3120</v>
      </c>
      <c r="B222" s="480"/>
      <c r="C222" s="480"/>
      <c r="D222" s="480">
        <f>1092/1800</f>
        <v>0.60670000000000002</v>
      </c>
      <c r="E222" s="480">
        <f>1101/1800</f>
        <v>0.61170000000000002</v>
      </c>
      <c r="F222" s="480"/>
      <c r="G222" s="480"/>
      <c r="H222" s="480"/>
      <c r="I222" s="480"/>
      <c r="J222" s="480"/>
      <c r="K222" s="480"/>
      <c r="L222" s="480"/>
      <c r="M222" s="480"/>
      <c r="N222" s="480"/>
      <c r="O222" s="480"/>
      <c r="P222" s="480"/>
      <c r="Q222" s="480"/>
      <c r="R222" s="480"/>
      <c r="S222" s="480"/>
      <c r="T222" s="480"/>
      <c r="U222" s="480"/>
      <c r="V222" s="480"/>
      <c r="W222" s="480"/>
      <c r="X222" s="480"/>
      <c r="Y222" s="480"/>
      <c r="Z222" s="480"/>
      <c r="AA222" s="480"/>
      <c r="AB222" s="480"/>
      <c r="AC222" s="393" t="e">
        <f t="shared" si="80"/>
        <v>#DIV/0!</v>
      </c>
      <c r="AD222" s="393" t="e">
        <f t="shared" si="81"/>
        <v>#DIV/0!</v>
      </c>
      <c r="AE222" s="393">
        <f t="shared" si="82"/>
        <v>0.82399999999999995</v>
      </c>
      <c r="AF222" s="393">
        <f t="shared" si="83"/>
        <v>-100</v>
      </c>
      <c r="AG222" s="393" t="e">
        <f t="shared" si="84"/>
        <v>#DIV/0!</v>
      </c>
      <c r="AH222" s="393" t="e">
        <f t="shared" si="85"/>
        <v>#DIV/0!</v>
      </c>
      <c r="AI222" s="393" t="e">
        <f t="shared" si="86"/>
        <v>#DIV/0!</v>
      </c>
      <c r="AJ222" s="393" t="e">
        <f t="shared" si="87"/>
        <v>#DIV/0!</v>
      </c>
      <c r="AK222" s="393" t="e">
        <f t="shared" si="88"/>
        <v>#DIV/0!</v>
      </c>
      <c r="AL222" s="393" t="e">
        <f t="shared" si="89"/>
        <v>#DIV/0!</v>
      </c>
      <c r="AM222" s="393" t="e">
        <f t="shared" si="90"/>
        <v>#DIV/0!</v>
      </c>
      <c r="AN222" s="393" t="e">
        <f t="shared" si="91"/>
        <v>#DIV/0!</v>
      </c>
      <c r="AO222" s="393" t="e">
        <f t="shared" si="92"/>
        <v>#DIV/0!</v>
      </c>
      <c r="AP222" s="393" t="e">
        <f t="shared" si="93"/>
        <v>#DIV/0!</v>
      </c>
      <c r="AQ222" s="393" t="e">
        <f t="shared" si="94"/>
        <v>#DIV/0!</v>
      </c>
      <c r="AR222" s="393" t="e">
        <f t="shared" si="95"/>
        <v>#DIV/0!</v>
      </c>
      <c r="AS222" s="393" t="e">
        <f t="shared" si="96"/>
        <v>#DIV/0!</v>
      </c>
      <c r="AT222" s="393" t="e">
        <f t="shared" si="97"/>
        <v>#DIV/0!</v>
      </c>
      <c r="AU222" s="393" t="e">
        <f t="shared" si="98"/>
        <v>#DIV/0!</v>
      </c>
      <c r="AV222" s="393" t="e">
        <f t="shared" si="99"/>
        <v>#DIV/0!</v>
      </c>
      <c r="AW222" s="393" t="e">
        <f t="shared" si="100"/>
        <v>#DIV/0!</v>
      </c>
      <c r="AX222" s="393" t="e">
        <f t="shared" si="101"/>
        <v>#DIV/0!</v>
      </c>
      <c r="AY222" s="393" t="e">
        <f t="shared" si="102"/>
        <v>#DIV/0!</v>
      </c>
      <c r="AZ222" s="393" t="e">
        <f t="shared" si="103"/>
        <v>#DIV/0!</v>
      </c>
      <c r="BA222" s="393" t="e">
        <f t="shared" si="104"/>
        <v>#DIV/0!</v>
      </c>
      <c r="BB222" s="393" t="e">
        <f t="shared" si="105"/>
        <v>#DIV/0!</v>
      </c>
    </row>
    <row r="223" spans="1:54" x14ac:dyDescent="0.25">
      <c r="A223" s="360" t="s">
        <v>2616</v>
      </c>
      <c r="B223" s="480"/>
      <c r="C223" s="480"/>
      <c r="D223" s="480"/>
      <c r="E223" s="480"/>
      <c r="F223" s="480"/>
      <c r="G223" s="480">
        <f>1199/2400</f>
        <v>0.49959999999999999</v>
      </c>
      <c r="H223" s="480"/>
      <c r="I223" s="480"/>
      <c r="J223" s="480"/>
      <c r="K223" s="480"/>
      <c r="L223" s="480"/>
      <c r="M223" s="480"/>
      <c r="N223" s="480"/>
      <c r="O223" s="480"/>
      <c r="P223" s="480"/>
      <c r="Q223" s="480"/>
      <c r="R223" s="480"/>
      <c r="S223" s="480"/>
      <c r="T223" s="480"/>
      <c r="U223" s="480"/>
      <c r="V223" s="480"/>
      <c r="W223" s="480"/>
      <c r="X223" s="480"/>
      <c r="Y223" s="480"/>
      <c r="Z223" s="480"/>
      <c r="AA223" s="480"/>
      <c r="AB223" s="480"/>
      <c r="AC223" s="393" t="e">
        <f t="shared" si="80"/>
        <v>#DIV/0!</v>
      </c>
      <c r="AD223" s="393" t="e">
        <f t="shared" si="81"/>
        <v>#DIV/0!</v>
      </c>
      <c r="AE223" s="393" t="e">
        <f t="shared" si="82"/>
        <v>#DIV/0!</v>
      </c>
      <c r="AF223" s="393" t="e">
        <f t="shared" si="83"/>
        <v>#DIV/0!</v>
      </c>
      <c r="AG223" s="393" t="e">
        <f t="shared" si="84"/>
        <v>#DIV/0!</v>
      </c>
      <c r="AH223" s="393">
        <f t="shared" si="85"/>
        <v>-100</v>
      </c>
      <c r="AI223" s="393" t="e">
        <f t="shared" si="86"/>
        <v>#DIV/0!</v>
      </c>
      <c r="AJ223" s="393" t="e">
        <f t="shared" si="87"/>
        <v>#DIV/0!</v>
      </c>
      <c r="AK223" s="393" t="e">
        <f t="shared" si="88"/>
        <v>#DIV/0!</v>
      </c>
      <c r="AL223" s="393" t="e">
        <f t="shared" si="89"/>
        <v>#DIV/0!</v>
      </c>
      <c r="AM223" s="393" t="e">
        <f t="shared" si="90"/>
        <v>#DIV/0!</v>
      </c>
      <c r="AN223" s="393" t="e">
        <f t="shared" si="91"/>
        <v>#DIV/0!</v>
      </c>
      <c r="AO223" s="393" t="e">
        <f t="shared" si="92"/>
        <v>#DIV/0!</v>
      </c>
      <c r="AP223" s="393" t="e">
        <f t="shared" si="93"/>
        <v>#DIV/0!</v>
      </c>
      <c r="AQ223" s="393" t="e">
        <f t="shared" si="94"/>
        <v>#DIV/0!</v>
      </c>
      <c r="AR223" s="393" t="e">
        <f t="shared" si="95"/>
        <v>#DIV/0!</v>
      </c>
      <c r="AS223" s="393" t="e">
        <f t="shared" si="96"/>
        <v>#DIV/0!</v>
      </c>
      <c r="AT223" s="393" t="e">
        <f t="shared" si="97"/>
        <v>#DIV/0!</v>
      </c>
      <c r="AU223" s="393" t="e">
        <f t="shared" si="98"/>
        <v>#DIV/0!</v>
      </c>
      <c r="AV223" s="393" t="e">
        <f t="shared" si="99"/>
        <v>#DIV/0!</v>
      </c>
      <c r="AW223" s="393" t="e">
        <f t="shared" si="100"/>
        <v>#DIV/0!</v>
      </c>
      <c r="AX223" s="393" t="e">
        <f t="shared" si="101"/>
        <v>#DIV/0!</v>
      </c>
      <c r="AY223" s="393" t="e">
        <f t="shared" si="102"/>
        <v>#DIV/0!</v>
      </c>
      <c r="AZ223" s="393" t="e">
        <f t="shared" si="103"/>
        <v>#DIV/0!</v>
      </c>
      <c r="BA223" s="393" t="e">
        <f t="shared" si="104"/>
        <v>#DIV/0!</v>
      </c>
      <c r="BB223" s="393" t="e">
        <f t="shared" si="105"/>
        <v>#DIV/0!</v>
      </c>
    </row>
    <row r="224" spans="1:54" x14ac:dyDescent="0.25">
      <c r="A224" s="361" t="s">
        <v>4009</v>
      </c>
      <c r="B224" s="480"/>
      <c r="C224" s="480"/>
      <c r="D224" s="480"/>
      <c r="E224" s="480"/>
      <c r="F224" s="480"/>
      <c r="G224" s="480"/>
      <c r="H224" s="480"/>
      <c r="I224" s="480"/>
      <c r="J224" s="480"/>
      <c r="K224" s="480"/>
      <c r="L224" s="480"/>
      <c r="M224" s="480"/>
      <c r="N224" s="480"/>
      <c r="O224" s="480"/>
      <c r="P224" s="480"/>
      <c r="Q224" s="480"/>
      <c r="R224" s="480"/>
      <c r="S224" s="480"/>
      <c r="T224" s="480">
        <f>834/1200</f>
        <v>0.69499999999999995</v>
      </c>
      <c r="U224" s="480"/>
      <c r="V224" s="480"/>
      <c r="W224" s="480"/>
      <c r="X224" s="480"/>
      <c r="Y224" s="480"/>
      <c r="Z224" s="480"/>
      <c r="AA224" s="480"/>
      <c r="AB224" s="480"/>
      <c r="AC224" s="393" t="e">
        <f t="shared" si="80"/>
        <v>#DIV/0!</v>
      </c>
      <c r="AD224" s="393" t="e">
        <f t="shared" si="81"/>
        <v>#DIV/0!</v>
      </c>
      <c r="AE224" s="393" t="e">
        <f t="shared" si="82"/>
        <v>#DIV/0!</v>
      </c>
      <c r="AF224" s="393" t="e">
        <f t="shared" si="83"/>
        <v>#DIV/0!</v>
      </c>
      <c r="AG224" s="393" t="e">
        <f t="shared" si="84"/>
        <v>#DIV/0!</v>
      </c>
      <c r="AH224" s="393" t="e">
        <f t="shared" si="85"/>
        <v>#DIV/0!</v>
      </c>
      <c r="AI224" s="393" t="e">
        <f t="shared" si="86"/>
        <v>#DIV/0!</v>
      </c>
      <c r="AJ224" s="393" t="e">
        <f t="shared" si="87"/>
        <v>#DIV/0!</v>
      </c>
      <c r="AK224" s="393" t="e">
        <f t="shared" si="88"/>
        <v>#DIV/0!</v>
      </c>
      <c r="AL224" s="393" t="e">
        <f t="shared" si="89"/>
        <v>#DIV/0!</v>
      </c>
      <c r="AM224" s="393" t="e">
        <f t="shared" si="90"/>
        <v>#DIV/0!</v>
      </c>
      <c r="AN224" s="393" t="e">
        <f t="shared" si="91"/>
        <v>#DIV/0!</v>
      </c>
      <c r="AO224" s="393" t="e">
        <f t="shared" si="92"/>
        <v>#DIV/0!</v>
      </c>
      <c r="AP224" s="393" t="e">
        <f t="shared" si="93"/>
        <v>#DIV/0!</v>
      </c>
      <c r="AQ224" s="393" t="e">
        <f t="shared" si="94"/>
        <v>#DIV/0!</v>
      </c>
      <c r="AR224" s="393" t="e">
        <f t="shared" si="95"/>
        <v>#DIV/0!</v>
      </c>
      <c r="AS224" s="393" t="e">
        <f t="shared" si="96"/>
        <v>#DIV/0!</v>
      </c>
      <c r="AT224" s="393" t="e">
        <f t="shared" si="97"/>
        <v>#DIV/0!</v>
      </c>
      <c r="AU224" s="393">
        <f t="shared" si="98"/>
        <v>-100</v>
      </c>
      <c r="AV224" s="393" t="e">
        <f t="shared" si="99"/>
        <v>#DIV/0!</v>
      </c>
      <c r="AW224" s="393" t="e">
        <f t="shared" si="100"/>
        <v>#DIV/0!</v>
      </c>
      <c r="AX224" s="393" t="e">
        <f t="shared" si="101"/>
        <v>#DIV/0!</v>
      </c>
      <c r="AY224" s="393" t="e">
        <f t="shared" si="102"/>
        <v>#DIV/0!</v>
      </c>
      <c r="AZ224" s="393" t="e">
        <f t="shared" si="103"/>
        <v>#DIV/0!</v>
      </c>
      <c r="BA224" s="393" t="e">
        <f t="shared" si="104"/>
        <v>#DIV/0!</v>
      </c>
      <c r="BB224" s="393" t="e">
        <f t="shared" si="105"/>
        <v>#DIV/0!</v>
      </c>
    </row>
    <row r="225" spans="1:54" x14ac:dyDescent="0.25">
      <c r="A225" s="361" t="s">
        <v>1137</v>
      </c>
      <c r="B225" s="480"/>
      <c r="C225" s="480"/>
      <c r="D225" s="480"/>
      <c r="E225" s="480"/>
      <c r="F225" s="480"/>
      <c r="G225" s="480"/>
      <c r="H225" s="480"/>
      <c r="I225" s="480"/>
      <c r="J225" s="480"/>
      <c r="K225" s="480"/>
      <c r="L225" s="480"/>
      <c r="M225" s="480"/>
      <c r="N225" s="480"/>
      <c r="O225" s="480"/>
      <c r="P225" s="480"/>
      <c r="Q225" s="480"/>
      <c r="R225" s="480"/>
      <c r="S225" s="480"/>
      <c r="T225" s="480"/>
      <c r="U225" s="480"/>
      <c r="V225" s="480"/>
      <c r="W225" s="480"/>
      <c r="X225" s="480">
        <f>931/1800</f>
        <v>0.51719999999999999</v>
      </c>
      <c r="Y225" s="480"/>
      <c r="Z225" s="480"/>
      <c r="AA225" s="480"/>
      <c r="AB225" s="480"/>
      <c r="AC225" s="393" t="e">
        <f t="shared" si="80"/>
        <v>#DIV/0!</v>
      </c>
      <c r="AD225" s="393" t="e">
        <f t="shared" si="81"/>
        <v>#DIV/0!</v>
      </c>
      <c r="AE225" s="393" t="e">
        <f t="shared" si="82"/>
        <v>#DIV/0!</v>
      </c>
      <c r="AF225" s="393" t="e">
        <f t="shared" si="83"/>
        <v>#DIV/0!</v>
      </c>
      <c r="AG225" s="393" t="e">
        <f t="shared" si="84"/>
        <v>#DIV/0!</v>
      </c>
      <c r="AH225" s="393" t="e">
        <f t="shared" si="85"/>
        <v>#DIV/0!</v>
      </c>
      <c r="AI225" s="393" t="e">
        <f t="shared" si="86"/>
        <v>#DIV/0!</v>
      </c>
      <c r="AJ225" s="393" t="e">
        <f t="shared" si="87"/>
        <v>#DIV/0!</v>
      </c>
      <c r="AK225" s="393" t="e">
        <f t="shared" si="88"/>
        <v>#DIV/0!</v>
      </c>
      <c r="AL225" s="393" t="e">
        <f t="shared" si="89"/>
        <v>#DIV/0!</v>
      </c>
      <c r="AM225" s="393" t="e">
        <f t="shared" si="90"/>
        <v>#DIV/0!</v>
      </c>
      <c r="AN225" s="393" t="e">
        <f t="shared" si="91"/>
        <v>#DIV/0!</v>
      </c>
      <c r="AO225" s="393" t="e">
        <f t="shared" si="92"/>
        <v>#DIV/0!</v>
      </c>
      <c r="AP225" s="393" t="e">
        <f t="shared" si="93"/>
        <v>#DIV/0!</v>
      </c>
      <c r="AQ225" s="393" t="e">
        <f t="shared" si="94"/>
        <v>#DIV/0!</v>
      </c>
      <c r="AR225" s="393" t="e">
        <f t="shared" si="95"/>
        <v>#DIV/0!</v>
      </c>
      <c r="AS225" s="393" t="e">
        <f t="shared" si="96"/>
        <v>#DIV/0!</v>
      </c>
      <c r="AT225" s="393" t="e">
        <f t="shared" si="97"/>
        <v>#DIV/0!</v>
      </c>
      <c r="AU225" s="393" t="e">
        <f t="shared" si="98"/>
        <v>#DIV/0!</v>
      </c>
      <c r="AV225" s="393" t="e">
        <f t="shared" si="99"/>
        <v>#DIV/0!</v>
      </c>
      <c r="AW225" s="393" t="e">
        <f t="shared" si="100"/>
        <v>#DIV/0!</v>
      </c>
      <c r="AX225" s="393" t="e">
        <f t="shared" si="101"/>
        <v>#DIV/0!</v>
      </c>
      <c r="AY225" s="393">
        <f t="shared" si="102"/>
        <v>-100</v>
      </c>
      <c r="AZ225" s="393" t="e">
        <f t="shared" si="103"/>
        <v>#DIV/0!</v>
      </c>
      <c r="BA225" s="393" t="e">
        <f t="shared" si="104"/>
        <v>#DIV/0!</v>
      </c>
      <c r="BB225" s="393" t="e">
        <f t="shared" si="105"/>
        <v>#DIV/0!</v>
      </c>
    </row>
    <row r="226" spans="1:54" x14ac:dyDescent="0.25">
      <c r="A226" s="361" t="s">
        <v>1607</v>
      </c>
      <c r="B226" s="480"/>
      <c r="C226" s="480"/>
      <c r="D226" s="480"/>
      <c r="E226" s="480"/>
      <c r="F226" s="480"/>
      <c r="G226" s="480"/>
      <c r="H226" s="480"/>
      <c r="I226" s="480"/>
      <c r="J226" s="480"/>
      <c r="K226" s="480"/>
      <c r="L226" s="480"/>
      <c r="M226" s="480"/>
      <c r="N226" s="480"/>
      <c r="O226" s="480"/>
      <c r="P226" s="480"/>
      <c r="Q226" s="480"/>
      <c r="R226" s="480"/>
      <c r="S226" s="480">
        <f>1066/1800</f>
        <v>0.59219999999999995</v>
      </c>
      <c r="T226" s="480"/>
      <c r="U226" s="480"/>
      <c r="V226" s="480"/>
      <c r="W226" s="480"/>
      <c r="X226" s="480"/>
      <c r="Y226" s="480"/>
      <c r="Z226" s="480"/>
      <c r="AA226" s="480"/>
      <c r="AB226" s="480"/>
      <c r="AC226" s="393" t="e">
        <f t="shared" si="80"/>
        <v>#DIV/0!</v>
      </c>
      <c r="AD226" s="393" t="e">
        <f t="shared" si="81"/>
        <v>#DIV/0!</v>
      </c>
      <c r="AE226" s="393" t="e">
        <f t="shared" si="82"/>
        <v>#DIV/0!</v>
      </c>
      <c r="AF226" s="393" t="e">
        <f t="shared" si="83"/>
        <v>#DIV/0!</v>
      </c>
      <c r="AG226" s="393" t="e">
        <f t="shared" si="84"/>
        <v>#DIV/0!</v>
      </c>
      <c r="AH226" s="393" t="e">
        <f t="shared" si="85"/>
        <v>#DIV/0!</v>
      </c>
      <c r="AI226" s="393" t="e">
        <f t="shared" si="86"/>
        <v>#DIV/0!</v>
      </c>
      <c r="AJ226" s="393" t="e">
        <f t="shared" si="87"/>
        <v>#DIV/0!</v>
      </c>
      <c r="AK226" s="393" t="e">
        <f t="shared" si="88"/>
        <v>#DIV/0!</v>
      </c>
      <c r="AL226" s="393" t="e">
        <f t="shared" si="89"/>
        <v>#DIV/0!</v>
      </c>
      <c r="AM226" s="393" t="e">
        <f t="shared" si="90"/>
        <v>#DIV/0!</v>
      </c>
      <c r="AN226" s="393" t="e">
        <f t="shared" si="91"/>
        <v>#DIV/0!</v>
      </c>
      <c r="AO226" s="393" t="e">
        <f t="shared" si="92"/>
        <v>#DIV/0!</v>
      </c>
      <c r="AP226" s="393" t="e">
        <f t="shared" si="93"/>
        <v>#DIV/0!</v>
      </c>
      <c r="AQ226" s="393" t="e">
        <f t="shared" si="94"/>
        <v>#DIV/0!</v>
      </c>
      <c r="AR226" s="393" t="e">
        <f t="shared" si="95"/>
        <v>#DIV/0!</v>
      </c>
      <c r="AS226" s="393" t="e">
        <f t="shared" si="96"/>
        <v>#DIV/0!</v>
      </c>
      <c r="AT226" s="393">
        <f t="shared" si="97"/>
        <v>-100</v>
      </c>
      <c r="AU226" s="393" t="e">
        <f t="shared" si="98"/>
        <v>#DIV/0!</v>
      </c>
      <c r="AV226" s="393" t="e">
        <f t="shared" si="99"/>
        <v>#DIV/0!</v>
      </c>
      <c r="AW226" s="393" t="e">
        <f t="shared" si="100"/>
        <v>#DIV/0!</v>
      </c>
      <c r="AX226" s="393" t="e">
        <f t="shared" si="101"/>
        <v>#DIV/0!</v>
      </c>
      <c r="AY226" s="393" t="e">
        <f t="shared" si="102"/>
        <v>#DIV/0!</v>
      </c>
      <c r="AZ226" s="393" t="e">
        <f t="shared" si="103"/>
        <v>#DIV/0!</v>
      </c>
      <c r="BA226" s="393" t="e">
        <f t="shared" si="104"/>
        <v>#DIV/0!</v>
      </c>
      <c r="BB226" s="393" t="e">
        <f t="shared" si="105"/>
        <v>#DIV/0!</v>
      </c>
    </row>
    <row r="227" spans="1:54" x14ac:dyDescent="0.25">
      <c r="A227" s="361" t="s">
        <v>1573</v>
      </c>
      <c r="B227" s="480"/>
      <c r="C227" s="480"/>
      <c r="D227" s="480"/>
      <c r="E227" s="480"/>
      <c r="F227" s="480"/>
      <c r="G227" s="480"/>
      <c r="H227" s="480"/>
      <c r="I227" s="480"/>
      <c r="J227" s="480"/>
      <c r="K227" s="480"/>
      <c r="L227" s="480"/>
      <c r="M227" s="480"/>
      <c r="N227" s="480"/>
      <c r="O227" s="480"/>
      <c r="P227" s="480"/>
      <c r="Q227" s="480">
        <f>977/1800</f>
        <v>0.54279999999999995</v>
      </c>
      <c r="R227" s="480"/>
      <c r="S227" s="480">
        <f>1100/1800</f>
        <v>0.61109999999999998</v>
      </c>
      <c r="T227" s="480"/>
      <c r="U227" s="480"/>
      <c r="V227" s="480"/>
      <c r="W227" s="480"/>
      <c r="X227" s="480"/>
      <c r="Y227" s="480"/>
      <c r="Z227" s="480"/>
      <c r="AA227" s="480"/>
      <c r="AB227" s="480"/>
      <c r="AC227" s="393" t="e">
        <f t="shared" si="80"/>
        <v>#DIV/0!</v>
      </c>
      <c r="AD227" s="393" t="e">
        <f t="shared" si="81"/>
        <v>#DIV/0!</v>
      </c>
      <c r="AE227" s="393" t="e">
        <f t="shared" si="82"/>
        <v>#DIV/0!</v>
      </c>
      <c r="AF227" s="393" t="e">
        <f t="shared" si="83"/>
        <v>#DIV/0!</v>
      </c>
      <c r="AG227" s="393" t="e">
        <f t="shared" si="84"/>
        <v>#DIV/0!</v>
      </c>
      <c r="AH227" s="393" t="e">
        <f t="shared" si="85"/>
        <v>#DIV/0!</v>
      </c>
      <c r="AI227" s="393" t="e">
        <f t="shared" si="86"/>
        <v>#DIV/0!</v>
      </c>
      <c r="AJ227" s="393" t="e">
        <f t="shared" si="87"/>
        <v>#DIV/0!</v>
      </c>
      <c r="AK227" s="393" t="e">
        <f t="shared" si="88"/>
        <v>#DIV/0!</v>
      </c>
      <c r="AL227" s="393" t="e">
        <f t="shared" si="89"/>
        <v>#DIV/0!</v>
      </c>
      <c r="AM227" s="393" t="e">
        <f t="shared" si="90"/>
        <v>#DIV/0!</v>
      </c>
      <c r="AN227" s="393" t="e">
        <f t="shared" si="91"/>
        <v>#DIV/0!</v>
      </c>
      <c r="AO227" s="393" t="e">
        <f t="shared" si="92"/>
        <v>#DIV/0!</v>
      </c>
      <c r="AP227" s="393" t="e">
        <f t="shared" si="93"/>
        <v>#DIV/0!</v>
      </c>
      <c r="AQ227" s="393" t="e">
        <f t="shared" si="94"/>
        <v>#DIV/0!</v>
      </c>
      <c r="AR227" s="393">
        <f t="shared" si="95"/>
        <v>-100</v>
      </c>
      <c r="AS227" s="393" t="e">
        <f t="shared" si="96"/>
        <v>#DIV/0!</v>
      </c>
      <c r="AT227" s="393">
        <f t="shared" si="97"/>
        <v>-100</v>
      </c>
      <c r="AU227" s="393" t="e">
        <f t="shared" si="98"/>
        <v>#DIV/0!</v>
      </c>
      <c r="AV227" s="393" t="e">
        <f t="shared" si="99"/>
        <v>#DIV/0!</v>
      </c>
      <c r="AW227" s="393" t="e">
        <f t="shared" si="100"/>
        <v>#DIV/0!</v>
      </c>
      <c r="AX227" s="393" t="e">
        <f t="shared" si="101"/>
        <v>#DIV/0!</v>
      </c>
      <c r="AY227" s="393" t="e">
        <f t="shared" si="102"/>
        <v>#DIV/0!</v>
      </c>
      <c r="AZ227" s="393" t="e">
        <f t="shared" si="103"/>
        <v>#DIV/0!</v>
      </c>
      <c r="BA227" s="393" t="e">
        <f t="shared" si="104"/>
        <v>#DIV/0!</v>
      </c>
      <c r="BB227" s="393" t="e">
        <f t="shared" si="105"/>
        <v>#DIV/0!</v>
      </c>
    </row>
    <row r="228" spans="1:54" x14ac:dyDescent="0.25">
      <c r="A228" s="361" t="s">
        <v>495</v>
      </c>
      <c r="B228" s="480"/>
      <c r="C228" s="480"/>
      <c r="D228" s="480"/>
      <c r="E228" s="480"/>
      <c r="F228" s="480"/>
      <c r="G228" s="480"/>
      <c r="H228" s="480"/>
      <c r="I228" s="480"/>
      <c r="J228" s="480">
        <f>557/1200</f>
        <v>0.4642</v>
      </c>
      <c r="K228" s="480"/>
      <c r="L228" s="480"/>
      <c r="M228" s="480"/>
      <c r="N228" s="480"/>
      <c r="O228" s="480"/>
      <c r="P228" s="480"/>
      <c r="Q228" s="480"/>
      <c r="R228" s="480"/>
      <c r="S228" s="480">
        <f>972/1800</f>
        <v>0.54</v>
      </c>
      <c r="T228" s="480">
        <f>667/1200</f>
        <v>0.55579999999999996</v>
      </c>
      <c r="U228" s="480"/>
      <c r="V228" s="481"/>
      <c r="W228" s="481"/>
      <c r="X228" s="481"/>
      <c r="Y228" s="481"/>
      <c r="Z228" s="481"/>
      <c r="AA228" s="481"/>
      <c r="AB228" s="481"/>
      <c r="AC228" s="393" t="e">
        <f t="shared" si="80"/>
        <v>#DIV/0!</v>
      </c>
      <c r="AD228" s="393" t="e">
        <f t="shared" si="81"/>
        <v>#DIV/0!</v>
      </c>
      <c r="AE228" s="393" t="e">
        <f t="shared" si="82"/>
        <v>#DIV/0!</v>
      </c>
      <c r="AF228" s="393" t="e">
        <f t="shared" si="83"/>
        <v>#DIV/0!</v>
      </c>
      <c r="AG228" s="393" t="e">
        <f t="shared" si="84"/>
        <v>#DIV/0!</v>
      </c>
      <c r="AH228" s="393" t="e">
        <f t="shared" si="85"/>
        <v>#DIV/0!</v>
      </c>
      <c r="AI228" s="393" t="e">
        <f t="shared" si="86"/>
        <v>#DIV/0!</v>
      </c>
      <c r="AJ228" s="393" t="e">
        <f t="shared" si="87"/>
        <v>#DIV/0!</v>
      </c>
      <c r="AK228" s="393">
        <f t="shared" si="88"/>
        <v>-100</v>
      </c>
      <c r="AL228" s="393" t="e">
        <f t="shared" si="89"/>
        <v>#DIV/0!</v>
      </c>
      <c r="AM228" s="393" t="e">
        <f t="shared" si="90"/>
        <v>#DIV/0!</v>
      </c>
      <c r="AN228" s="393" t="e">
        <f t="shared" si="91"/>
        <v>#DIV/0!</v>
      </c>
      <c r="AO228" s="393" t="e">
        <f t="shared" si="92"/>
        <v>#DIV/0!</v>
      </c>
      <c r="AP228" s="393" t="e">
        <f t="shared" si="93"/>
        <v>#DIV/0!</v>
      </c>
      <c r="AQ228" s="393" t="e">
        <f t="shared" si="94"/>
        <v>#DIV/0!</v>
      </c>
      <c r="AR228" s="393" t="e">
        <f t="shared" si="95"/>
        <v>#DIV/0!</v>
      </c>
      <c r="AS228" s="393" t="e">
        <f t="shared" si="96"/>
        <v>#DIV/0!</v>
      </c>
      <c r="AT228" s="393">
        <f t="shared" si="97"/>
        <v>2.9260000000000002</v>
      </c>
      <c r="AU228" s="393">
        <f t="shared" si="98"/>
        <v>-100</v>
      </c>
      <c r="AV228" s="393" t="e">
        <f t="shared" si="99"/>
        <v>#DIV/0!</v>
      </c>
      <c r="AW228" s="393" t="e">
        <f t="shared" si="100"/>
        <v>#DIV/0!</v>
      </c>
      <c r="AX228" s="393" t="e">
        <f t="shared" si="101"/>
        <v>#DIV/0!</v>
      </c>
      <c r="AY228" s="393" t="e">
        <f t="shared" si="102"/>
        <v>#DIV/0!</v>
      </c>
      <c r="AZ228" s="393" t="e">
        <f t="shared" si="103"/>
        <v>#DIV/0!</v>
      </c>
      <c r="BA228" s="393" t="e">
        <f t="shared" si="104"/>
        <v>#DIV/0!</v>
      </c>
      <c r="BB228" s="393" t="e">
        <f t="shared" si="105"/>
        <v>#DIV/0!</v>
      </c>
    </row>
    <row r="229" spans="1:54" x14ac:dyDescent="0.25">
      <c r="A229" s="361" t="s">
        <v>1189</v>
      </c>
      <c r="B229" s="480"/>
      <c r="C229" s="480"/>
      <c r="D229" s="480"/>
      <c r="E229" s="480"/>
      <c r="F229" s="480"/>
      <c r="G229" s="480"/>
      <c r="H229" s="480"/>
      <c r="I229" s="480"/>
      <c r="J229" s="480"/>
      <c r="K229" s="480"/>
      <c r="L229" s="480"/>
      <c r="M229" s="480"/>
      <c r="N229" s="480"/>
      <c r="O229" s="480"/>
      <c r="P229" s="480"/>
      <c r="Q229" s="480"/>
      <c r="R229" s="480"/>
      <c r="S229" s="480"/>
      <c r="T229" s="480"/>
      <c r="U229" s="480"/>
      <c r="V229" s="480"/>
      <c r="W229" s="480"/>
      <c r="X229" s="480">
        <f>1067/1800</f>
        <v>0.59279999999999999</v>
      </c>
      <c r="Y229" s="480"/>
      <c r="Z229" s="480"/>
      <c r="AA229" s="480"/>
      <c r="AB229" s="480"/>
      <c r="AC229" s="393" t="e">
        <f t="shared" si="80"/>
        <v>#DIV/0!</v>
      </c>
      <c r="AD229" s="393" t="e">
        <f t="shared" si="81"/>
        <v>#DIV/0!</v>
      </c>
      <c r="AE229" s="393" t="e">
        <f t="shared" si="82"/>
        <v>#DIV/0!</v>
      </c>
      <c r="AF229" s="393" t="e">
        <f t="shared" si="83"/>
        <v>#DIV/0!</v>
      </c>
      <c r="AG229" s="393" t="e">
        <f t="shared" si="84"/>
        <v>#DIV/0!</v>
      </c>
      <c r="AH229" s="393" t="e">
        <f t="shared" si="85"/>
        <v>#DIV/0!</v>
      </c>
      <c r="AI229" s="393" t="e">
        <f t="shared" si="86"/>
        <v>#DIV/0!</v>
      </c>
      <c r="AJ229" s="393" t="e">
        <f t="shared" si="87"/>
        <v>#DIV/0!</v>
      </c>
      <c r="AK229" s="393" t="e">
        <f t="shared" si="88"/>
        <v>#DIV/0!</v>
      </c>
      <c r="AL229" s="393" t="e">
        <f t="shared" si="89"/>
        <v>#DIV/0!</v>
      </c>
      <c r="AM229" s="393" t="e">
        <f t="shared" si="90"/>
        <v>#DIV/0!</v>
      </c>
      <c r="AN229" s="393" t="e">
        <f t="shared" si="91"/>
        <v>#DIV/0!</v>
      </c>
      <c r="AO229" s="393" t="e">
        <f t="shared" si="92"/>
        <v>#DIV/0!</v>
      </c>
      <c r="AP229" s="393" t="e">
        <f t="shared" si="93"/>
        <v>#DIV/0!</v>
      </c>
      <c r="AQ229" s="393" t="e">
        <f t="shared" si="94"/>
        <v>#DIV/0!</v>
      </c>
      <c r="AR229" s="393" t="e">
        <f t="shared" si="95"/>
        <v>#DIV/0!</v>
      </c>
      <c r="AS229" s="393" t="e">
        <f t="shared" si="96"/>
        <v>#DIV/0!</v>
      </c>
      <c r="AT229" s="393" t="e">
        <f t="shared" si="97"/>
        <v>#DIV/0!</v>
      </c>
      <c r="AU229" s="393" t="e">
        <f t="shared" si="98"/>
        <v>#DIV/0!</v>
      </c>
      <c r="AV229" s="393" t="e">
        <f t="shared" si="99"/>
        <v>#DIV/0!</v>
      </c>
      <c r="AW229" s="393" t="e">
        <f t="shared" si="100"/>
        <v>#DIV/0!</v>
      </c>
      <c r="AX229" s="393" t="e">
        <f t="shared" si="101"/>
        <v>#DIV/0!</v>
      </c>
      <c r="AY229" s="393">
        <f t="shared" si="102"/>
        <v>-100</v>
      </c>
      <c r="AZ229" s="393" t="e">
        <f t="shared" si="103"/>
        <v>#DIV/0!</v>
      </c>
      <c r="BA229" s="393" t="e">
        <f t="shared" si="104"/>
        <v>#DIV/0!</v>
      </c>
      <c r="BB229" s="393" t="e">
        <f t="shared" si="105"/>
        <v>#DIV/0!</v>
      </c>
    </row>
    <row r="230" spans="1:54" x14ac:dyDescent="0.25">
      <c r="A230" s="361" t="s">
        <v>1555</v>
      </c>
      <c r="B230" s="480"/>
      <c r="C230" s="480"/>
      <c r="D230" s="480"/>
      <c r="E230" s="480"/>
      <c r="F230" s="480"/>
      <c r="G230" s="480"/>
      <c r="H230" s="480"/>
      <c r="I230" s="480"/>
      <c r="J230" s="480"/>
      <c r="K230" s="480"/>
      <c r="L230" s="480"/>
      <c r="M230" s="480"/>
      <c r="N230" s="480">
        <f>633/1200</f>
        <v>0.52749999999999997</v>
      </c>
      <c r="O230" s="480"/>
      <c r="P230" s="480"/>
      <c r="Q230" s="480"/>
      <c r="R230" s="480"/>
      <c r="S230" s="480"/>
      <c r="T230" s="480"/>
      <c r="U230" s="480"/>
      <c r="V230" s="480"/>
      <c r="W230" s="480"/>
      <c r="X230" s="480"/>
      <c r="Y230" s="480"/>
      <c r="Z230" s="480"/>
      <c r="AA230" s="480"/>
      <c r="AB230" s="480"/>
      <c r="AC230" s="393" t="e">
        <f t="shared" si="80"/>
        <v>#DIV/0!</v>
      </c>
      <c r="AD230" s="393" t="e">
        <f t="shared" si="81"/>
        <v>#DIV/0!</v>
      </c>
      <c r="AE230" s="393" t="e">
        <f t="shared" si="82"/>
        <v>#DIV/0!</v>
      </c>
      <c r="AF230" s="393" t="e">
        <f t="shared" si="83"/>
        <v>#DIV/0!</v>
      </c>
      <c r="AG230" s="393" t="e">
        <f t="shared" si="84"/>
        <v>#DIV/0!</v>
      </c>
      <c r="AH230" s="393" t="e">
        <f t="shared" si="85"/>
        <v>#DIV/0!</v>
      </c>
      <c r="AI230" s="393" t="e">
        <f t="shared" si="86"/>
        <v>#DIV/0!</v>
      </c>
      <c r="AJ230" s="393" t="e">
        <f t="shared" si="87"/>
        <v>#DIV/0!</v>
      </c>
      <c r="AK230" s="393" t="e">
        <f t="shared" si="88"/>
        <v>#DIV/0!</v>
      </c>
      <c r="AL230" s="393" t="e">
        <f t="shared" si="89"/>
        <v>#DIV/0!</v>
      </c>
      <c r="AM230" s="393" t="e">
        <f t="shared" si="90"/>
        <v>#DIV/0!</v>
      </c>
      <c r="AN230" s="393" t="e">
        <f t="shared" si="91"/>
        <v>#DIV/0!</v>
      </c>
      <c r="AO230" s="393">
        <f t="shared" si="92"/>
        <v>-100</v>
      </c>
      <c r="AP230" s="393" t="e">
        <f t="shared" si="93"/>
        <v>#DIV/0!</v>
      </c>
      <c r="AQ230" s="393" t="e">
        <f t="shared" si="94"/>
        <v>#DIV/0!</v>
      </c>
      <c r="AR230" s="393" t="e">
        <f t="shared" si="95"/>
        <v>#DIV/0!</v>
      </c>
      <c r="AS230" s="393" t="e">
        <f t="shared" si="96"/>
        <v>#DIV/0!</v>
      </c>
      <c r="AT230" s="393" t="e">
        <f t="shared" si="97"/>
        <v>#DIV/0!</v>
      </c>
      <c r="AU230" s="393" t="e">
        <f t="shared" si="98"/>
        <v>#DIV/0!</v>
      </c>
      <c r="AV230" s="393" t="e">
        <f t="shared" si="99"/>
        <v>#DIV/0!</v>
      </c>
      <c r="AW230" s="393" t="e">
        <f t="shared" si="100"/>
        <v>#DIV/0!</v>
      </c>
      <c r="AX230" s="393" t="e">
        <f t="shared" si="101"/>
        <v>#DIV/0!</v>
      </c>
      <c r="AY230" s="393" t="e">
        <f t="shared" si="102"/>
        <v>#DIV/0!</v>
      </c>
      <c r="AZ230" s="393" t="e">
        <f t="shared" si="103"/>
        <v>#DIV/0!</v>
      </c>
      <c r="BA230" s="393" t="e">
        <f t="shared" si="104"/>
        <v>#DIV/0!</v>
      </c>
      <c r="BB230" s="393" t="e">
        <f t="shared" si="105"/>
        <v>#DIV/0!</v>
      </c>
    </row>
    <row r="231" spans="1:54" x14ac:dyDescent="0.25">
      <c r="A231" s="398" t="s">
        <v>1206</v>
      </c>
      <c r="B231" s="480">
        <f>585/1800</f>
        <v>0.32500000000000001</v>
      </c>
      <c r="C231" s="480"/>
      <c r="D231" s="480"/>
      <c r="E231" s="480"/>
      <c r="F231" s="480"/>
      <c r="G231" s="480"/>
      <c r="H231" s="480"/>
      <c r="I231" s="480"/>
      <c r="J231" s="480"/>
      <c r="K231" s="480"/>
      <c r="L231" s="480"/>
      <c r="M231" s="480"/>
      <c r="N231" s="480"/>
      <c r="O231" s="480"/>
      <c r="P231" s="480"/>
      <c r="Q231" s="480"/>
      <c r="R231" s="480"/>
      <c r="S231" s="480"/>
      <c r="T231" s="480"/>
      <c r="U231" s="480"/>
      <c r="V231" s="480"/>
      <c r="W231" s="480"/>
      <c r="X231" s="480"/>
      <c r="Y231" s="480"/>
      <c r="Z231" s="480"/>
      <c r="AA231" s="480"/>
      <c r="AB231" s="480"/>
      <c r="AC231" s="393">
        <f t="shared" si="80"/>
        <v>-100</v>
      </c>
      <c r="AD231" s="393" t="e">
        <f t="shared" si="81"/>
        <v>#DIV/0!</v>
      </c>
      <c r="AE231" s="393" t="e">
        <f t="shared" si="82"/>
        <v>#DIV/0!</v>
      </c>
      <c r="AF231" s="393" t="e">
        <f t="shared" si="83"/>
        <v>#DIV/0!</v>
      </c>
      <c r="AG231" s="393" t="e">
        <f t="shared" si="84"/>
        <v>#DIV/0!</v>
      </c>
      <c r="AH231" s="393" t="e">
        <f t="shared" si="85"/>
        <v>#DIV/0!</v>
      </c>
      <c r="AI231" s="393" t="e">
        <f t="shared" si="86"/>
        <v>#DIV/0!</v>
      </c>
      <c r="AJ231" s="393" t="e">
        <f t="shared" si="87"/>
        <v>#DIV/0!</v>
      </c>
      <c r="AK231" s="393" t="e">
        <f t="shared" si="88"/>
        <v>#DIV/0!</v>
      </c>
      <c r="AL231" s="393" t="e">
        <f t="shared" si="89"/>
        <v>#DIV/0!</v>
      </c>
      <c r="AM231" s="393" t="e">
        <f t="shared" si="90"/>
        <v>#DIV/0!</v>
      </c>
      <c r="AN231" s="393" t="e">
        <f t="shared" si="91"/>
        <v>#DIV/0!</v>
      </c>
      <c r="AO231" s="393" t="e">
        <f t="shared" si="92"/>
        <v>#DIV/0!</v>
      </c>
      <c r="AP231" s="393" t="e">
        <f t="shared" si="93"/>
        <v>#DIV/0!</v>
      </c>
      <c r="AQ231" s="393" t="e">
        <f t="shared" si="94"/>
        <v>#DIV/0!</v>
      </c>
      <c r="AR231" s="393" t="e">
        <f t="shared" si="95"/>
        <v>#DIV/0!</v>
      </c>
      <c r="AS231" s="393" t="e">
        <f t="shared" si="96"/>
        <v>#DIV/0!</v>
      </c>
      <c r="AT231" s="393" t="e">
        <f t="shared" si="97"/>
        <v>#DIV/0!</v>
      </c>
      <c r="AU231" s="393" t="e">
        <f t="shared" si="98"/>
        <v>#DIV/0!</v>
      </c>
      <c r="AV231" s="393" t="e">
        <f t="shared" si="99"/>
        <v>#DIV/0!</v>
      </c>
      <c r="AW231" s="393" t="e">
        <f t="shared" si="100"/>
        <v>#DIV/0!</v>
      </c>
      <c r="AX231" s="393" t="e">
        <f t="shared" si="101"/>
        <v>#DIV/0!</v>
      </c>
      <c r="AY231" s="393" t="e">
        <f t="shared" si="102"/>
        <v>#DIV/0!</v>
      </c>
      <c r="AZ231" s="393" t="e">
        <f t="shared" si="103"/>
        <v>#DIV/0!</v>
      </c>
      <c r="BA231" s="393" t="e">
        <f t="shared" si="104"/>
        <v>#DIV/0!</v>
      </c>
      <c r="BB231" s="393" t="e">
        <f t="shared" si="105"/>
        <v>#DIV/0!</v>
      </c>
    </row>
    <row r="232" spans="1:54" x14ac:dyDescent="0.25">
      <c r="A232" s="361" t="s">
        <v>2092</v>
      </c>
      <c r="B232" s="480"/>
      <c r="C232" s="480"/>
      <c r="D232" s="480"/>
      <c r="E232" s="480"/>
      <c r="F232" s="480"/>
      <c r="G232" s="480"/>
      <c r="H232" s="480"/>
      <c r="I232" s="480"/>
      <c r="J232" s="480"/>
      <c r="K232" s="480"/>
      <c r="L232" s="480"/>
      <c r="M232" s="480"/>
      <c r="N232" s="480"/>
      <c r="O232" s="480"/>
      <c r="P232" s="480"/>
      <c r="Q232" s="480"/>
      <c r="R232" s="480"/>
      <c r="S232" s="480"/>
      <c r="T232" s="480">
        <f>783/1200</f>
        <v>0.65249999999999997</v>
      </c>
      <c r="U232" s="480">
        <f>1188/1800</f>
        <v>0.66</v>
      </c>
      <c r="V232" s="480"/>
      <c r="W232" s="480"/>
      <c r="X232" s="480"/>
      <c r="Y232" s="480"/>
      <c r="Z232" s="480"/>
      <c r="AA232" s="480"/>
      <c r="AB232" s="480"/>
      <c r="AC232" s="393" t="e">
        <f t="shared" si="80"/>
        <v>#DIV/0!</v>
      </c>
      <c r="AD232" s="393" t="e">
        <f t="shared" si="81"/>
        <v>#DIV/0!</v>
      </c>
      <c r="AE232" s="393" t="e">
        <f t="shared" si="82"/>
        <v>#DIV/0!</v>
      </c>
      <c r="AF232" s="393" t="e">
        <f t="shared" si="83"/>
        <v>#DIV/0!</v>
      </c>
      <c r="AG232" s="393" t="e">
        <f t="shared" si="84"/>
        <v>#DIV/0!</v>
      </c>
      <c r="AH232" s="393" t="e">
        <f t="shared" si="85"/>
        <v>#DIV/0!</v>
      </c>
      <c r="AI232" s="393" t="e">
        <f t="shared" si="86"/>
        <v>#DIV/0!</v>
      </c>
      <c r="AJ232" s="393" t="e">
        <f t="shared" si="87"/>
        <v>#DIV/0!</v>
      </c>
      <c r="AK232" s="393" t="e">
        <f t="shared" si="88"/>
        <v>#DIV/0!</v>
      </c>
      <c r="AL232" s="393" t="e">
        <f t="shared" si="89"/>
        <v>#DIV/0!</v>
      </c>
      <c r="AM232" s="393" t="e">
        <f t="shared" si="90"/>
        <v>#DIV/0!</v>
      </c>
      <c r="AN232" s="393" t="e">
        <f t="shared" si="91"/>
        <v>#DIV/0!</v>
      </c>
      <c r="AO232" s="393" t="e">
        <f t="shared" si="92"/>
        <v>#DIV/0!</v>
      </c>
      <c r="AP232" s="393" t="e">
        <f t="shared" si="93"/>
        <v>#DIV/0!</v>
      </c>
      <c r="AQ232" s="393" t="e">
        <f t="shared" si="94"/>
        <v>#DIV/0!</v>
      </c>
      <c r="AR232" s="393" t="e">
        <f t="shared" si="95"/>
        <v>#DIV/0!</v>
      </c>
      <c r="AS232" s="393" t="e">
        <f t="shared" si="96"/>
        <v>#DIV/0!</v>
      </c>
      <c r="AT232" s="393" t="e">
        <f t="shared" si="97"/>
        <v>#DIV/0!</v>
      </c>
      <c r="AU232" s="393">
        <f t="shared" si="98"/>
        <v>1.149</v>
      </c>
      <c r="AV232" s="393">
        <f t="shared" si="99"/>
        <v>-100</v>
      </c>
      <c r="AW232" s="393" t="e">
        <f t="shared" si="100"/>
        <v>#DIV/0!</v>
      </c>
      <c r="AX232" s="393" t="e">
        <f t="shared" si="101"/>
        <v>#DIV/0!</v>
      </c>
      <c r="AY232" s="393" t="e">
        <f t="shared" si="102"/>
        <v>#DIV/0!</v>
      </c>
      <c r="AZ232" s="393" t="e">
        <f t="shared" si="103"/>
        <v>#DIV/0!</v>
      </c>
      <c r="BA232" s="393" t="e">
        <f t="shared" si="104"/>
        <v>#DIV/0!</v>
      </c>
      <c r="BB232" s="393" t="e">
        <f t="shared" si="105"/>
        <v>#DIV/0!</v>
      </c>
    </row>
    <row r="233" spans="1:54" x14ac:dyDescent="0.25">
      <c r="A233" s="361" t="s">
        <v>1197</v>
      </c>
      <c r="B233" s="480"/>
      <c r="C233" s="480"/>
      <c r="D233" s="480"/>
      <c r="E233" s="480"/>
      <c r="F233" s="480"/>
      <c r="G233" s="480"/>
      <c r="H233" s="480"/>
      <c r="I233" s="480"/>
      <c r="J233" s="480"/>
      <c r="K233" s="480"/>
      <c r="L233" s="480"/>
      <c r="M233" s="480"/>
      <c r="N233" s="480"/>
      <c r="O233" s="480"/>
      <c r="P233" s="480"/>
      <c r="Q233" s="480"/>
      <c r="R233" s="480">
        <f>985/1800</f>
        <v>0.54720000000000002</v>
      </c>
      <c r="S233" s="480"/>
      <c r="T233" s="480"/>
      <c r="U233" s="480"/>
      <c r="V233" s="480"/>
      <c r="W233" s="480"/>
      <c r="X233" s="480"/>
      <c r="Y233" s="480"/>
      <c r="Z233" s="480"/>
      <c r="AA233" s="480"/>
      <c r="AB233" s="480"/>
      <c r="AC233" s="393" t="e">
        <f t="shared" si="80"/>
        <v>#DIV/0!</v>
      </c>
      <c r="AD233" s="393" t="e">
        <f t="shared" si="81"/>
        <v>#DIV/0!</v>
      </c>
      <c r="AE233" s="393" t="e">
        <f t="shared" si="82"/>
        <v>#DIV/0!</v>
      </c>
      <c r="AF233" s="393" t="e">
        <f t="shared" si="83"/>
        <v>#DIV/0!</v>
      </c>
      <c r="AG233" s="393" t="e">
        <f t="shared" si="84"/>
        <v>#DIV/0!</v>
      </c>
      <c r="AH233" s="393" t="e">
        <f t="shared" si="85"/>
        <v>#DIV/0!</v>
      </c>
      <c r="AI233" s="393" t="e">
        <f t="shared" si="86"/>
        <v>#DIV/0!</v>
      </c>
      <c r="AJ233" s="393" t="e">
        <f t="shared" si="87"/>
        <v>#DIV/0!</v>
      </c>
      <c r="AK233" s="393" t="e">
        <f t="shared" si="88"/>
        <v>#DIV/0!</v>
      </c>
      <c r="AL233" s="393" t="e">
        <f t="shared" si="89"/>
        <v>#DIV/0!</v>
      </c>
      <c r="AM233" s="393" t="e">
        <f t="shared" si="90"/>
        <v>#DIV/0!</v>
      </c>
      <c r="AN233" s="393" t="e">
        <f t="shared" si="91"/>
        <v>#DIV/0!</v>
      </c>
      <c r="AO233" s="393" t="e">
        <f t="shared" si="92"/>
        <v>#DIV/0!</v>
      </c>
      <c r="AP233" s="393" t="e">
        <f t="shared" si="93"/>
        <v>#DIV/0!</v>
      </c>
      <c r="AQ233" s="393" t="e">
        <f t="shared" si="94"/>
        <v>#DIV/0!</v>
      </c>
      <c r="AR233" s="393" t="e">
        <f t="shared" si="95"/>
        <v>#DIV/0!</v>
      </c>
      <c r="AS233" s="393">
        <f t="shared" si="96"/>
        <v>-100</v>
      </c>
      <c r="AT233" s="393" t="e">
        <f t="shared" si="97"/>
        <v>#DIV/0!</v>
      </c>
      <c r="AU233" s="393" t="e">
        <f t="shared" si="98"/>
        <v>#DIV/0!</v>
      </c>
      <c r="AV233" s="393" t="e">
        <f t="shared" si="99"/>
        <v>#DIV/0!</v>
      </c>
      <c r="AW233" s="393" t="e">
        <f t="shared" si="100"/>
        <v>#DIV/0!</v>
      </c>
      <c r="AX233" s="393" t="e">
        <f t="shared" si="101"/>
        <v>#DIV/0!</v>
      </c>
      <c r="AY233" s="393" t="e">
        <f t="shared" si="102"/>
        <v>#DIV/0!</v>
      </c>
      <c r="AZ233" s="393" t="e">
        <f t="shared" si="103"/>
        <v>#DIV/0!</v>
      </c>
      <c r="BA233" s="393" t="e">
        <f t="shared" si="104"/>
        <v>#DIV/0!</v>
      </c>
      <c r="BB233" s="393" t="e">
        <f t="shared" si="105"/>
        <v>#DIV/0!</v>
      </c>
    </row>
    <row r="234" spans="1:54" x14ac:dyDescent="0.25">
      <c r="A234" s="565" t="s">
        <v>3106</v>
      </c>
      <c r="B234" s="480">
        <f>805/1800</f>
        <v>0.44719999999999999</v>
      </c>
      <c r="C234" s="480"/>
      <c r="D234" s="480"/>
      <c r="E234" s="480"/>
      <c r="F234" s="480"/>
      <c r="G234" s="480"/>
      <c r="H234" s="480"/>
      <c r="I234" s="480"/>
      <c r="J234" s="480"/>
      <c r="K234" s="480"/>
      <c r="L234" s="480"/>
      <c r="M234" s="480"/>
      <c r="N234" s="480"/>
      <c r="O234" s="480"/>
      <c r="P234" s="480"/>
      <c r="Q234" s="480"/>
      <c r="R234" s="480"/>
      <c r="S234" s="480"/>
      <c r="T234" s="480"/>
      <c r="U234" s="480"/>
      <c r="V234" s="480"/>
      <c r="W234" s="480"/>
      <c r="X234" s="480"/>
      <c r="Y234" s="480"/>
      <c r="Z234" s="480"/>
      <c r="AA234" s="480"/>
      <c r="AB234" s="480"/>
      <c r="AC234" s="393">
        <f t="shared" si="80"/>
        <v>-100</v>
      </c>
      <c r="AD234" s="393" t="e">
        <f t="shared" si="81"/>
        <v>#DIV/0!</v>
      </c>
      <c r="AE234" s="393" t="e">
        <f t="shared" si="82"/>
        <v>#DIV/0!</v>
      </c>
      <c r="AF234" s="393" t="e">
        <f t="shared" si="83"/>
        <v>#DIV/0!</v>
      </c>
      <c r="AG234" s="393" t="e">
        <f t="shared" si="84"/>
        <v>#DIV/0!</v>
      </c>
      <c r="AH234" s="393" t="e">
        <f t="shared" si="85"/>
        <v>#DIV/0!</v>
      </c>
      <c r="AI234" s="393" t="e">
        <f t="shared" si="86"/>
        <v>#DIV/0!</v>
      </c>
      <c r="AJ234" s="393" t="e">
        <f t="shared" si="87"/>
        <v>#DIV/0!</v>
      </c>
      <c r="AK234" s="393" t="e">
        <f t="shared" si="88"/>
        <v>#DIV/0!</v>
      </c>
      <c r="AL234" s="393" t="e">
        <f t="shared" si="89"/>
        <v>#DIV/0!</v>
      </c>
      <c r="AM234" s="393" t="e">
        <f t="shared" si="90"/>
        <v>#DIV/0!</v>
      </c>
      <c r="AN234" s="393" t="e">
        <f t="shared" si="91"/>
        <v>#DIV/0!</v>
      </c>
      <c r="AO234" s="393" t="e">
        <f t="shared" si="92"/>
        <v>#DIV/0!</v>
      </c>
      <c r="AP234" s="393" t="e">
        <f t="shared" si="93"/>
        <v>#DIV/0!</v>
      </c>
      <c r="AQ234" s="393" t="e">
        <f t="shared" si="94"/>
        <v>#DIV/0!</v>
      </c>
      <c r="AR234" s="393" t="e">
        <f t="shared" si="95"/>
        <v>#DIV/0!</v>
      </c>
      <c r="AS234" s="393" t="e">
        <f t="shared" si="96"/>
        <v>#DIV/0!</v>
      </c>
      <c r="AT234" s="393" t="e">
        <f t="shared" si="97"/>
        <v>#DIV/0!</v>
      </c>
      <c r="AU234" s="393" t="e">
        <f t="shared" si="98"/>
        <v>#DIV/0!</v>
      </c>
      <c r="AV234" s="393" t="e">
        <f t="shared" si="99"/>
        <v>#DIV/0!</v>
      </c>
      <c r="AW234" s="393" t="e">
        <f t="shared" si="100"/>
        <v>#DIV/0!</v>
      </c>
      <c r="AX234" s="393" t="e">
        <f t="shared" si="101"/>
        <v>#DIV/0!</v>
      </c>
      <c r="AY234" s="393" t="e">
        <f t="shared" si="102"/>
        <v>#DIV/0!</v>
      </c>
      <c r="AZ234" s="393" t="e">
        <f t="shared" si="103"/>
        <v>#DIV/0!</v>
      </c>
      <c r="BA234" s="393" t="e">
        <f t="shared" si="104"/>
        <v>#DIV/0!</v>
      </c>
      <c r="BB234" s="393" t="e">
        <f t="shared" si="105"/>
        <v>#DIV/0!</v>
      </c>
    </row>
    <row r="235" spans="1:54" x14ac:dyDescent="0.25">
      <c r="A235" s="361" t="s">
        <v>530</v>
      </c>
      <c r="B235" s="480"/>
      <c r="C235" s="480"/>
      <c r="D235" s="480"/>
      <c r="E235" s="480"/>
      <c r="F235" s="480"/>
      <c r="G235" s="480"/>
      <c r="H235" s="480"/>
      <c r="I235" s="480"/>
      <c r="J235" s="480"/>
      <c r="K235" s="480"/>
      <c r="L235" s="480"/>
      <c r="M235" s="480"/>
      <c r="N235" s="480"/>
      <c r="O235" s="480"/>
      <c r="P235" s="480"/>
      <c r="Q235" s="480"/>
      <c r="R235" s="480"/>
      <c r="S235" s="480"/>
      <c r="T235" s="480">
        <f>754/1200</f>
        <v>0.62829999999999997</v>
      </c>
      <c r="U235" s="480"/>
      <c r="V235" s="480"/>
      <c r="W235" s="480"/>
      <c r="X235" s="480"/>
      <c r="Y235" s="480"/>
      <c r="Z235" s="480"/>
      <c r="AA235" s="480"/>
      <c r="AB235" s="480"/>
      <c r="AC235" s="393" t="e">
        <f t="shared" si="80"/>
        <v>#DIV/0!</v>
      </c>
      <c r="AD235" s="393" t="e">
        <f t="shared" si="81"/>
        <v>#DIV/0!</v>
      </c>
      <c r="AE235" s="393" t="e">
        <f t="shared" si="82"/>
        <v>#DIV/0!</v>
      </c>
      <c r="AF235" s="393" t="e">
        <f t="shared" si="83"/>
        <v>#DIV/0!</v>
      </c>
      <c r="AG235" s="393" t="e">
        <f t="shared" si="84"/>
        <v>#DIV/0!</v>
      </c>
      <c r="AH235" s="393" t="e">
        <f t="shared" si="85"/>
        <v>#DIV/0!</v>
      </c>
      <c r="AI235" s="393" t="e">
        <f t="shared" si="86"/>
        <v>#DIV/0!</v>
      </c>
      <c r="AJ235" s="393" t="e">
        <f t="shared" si="87"/>
        <v>#DIV/0!</v>
      </c>
      <c r="AK235" s="393" t="e">
        <f t="shared" si="88"/>
        <v>#DIV/0!</v>
      </c>
      <c r="AL235" s="393" t="e">
        <f t="shared" si="89"/>
        <v>#DIV/0!</v>
      </c>
      <c r="AM235" s="393" t="e">
        <f t="shared" si="90"/>
        <v>#DIV/0!</v>
      </c>
      <c r="AN235" s="393" t="e">
        <f t="shared" si="91"/>
        <v>#DIV/0!</v>
      </c>
      <c r="AO235" s="393" t="e">
        <f t="shared" si="92"/>
        <v>#DIV/0!</v>
      </c>
      <c r="AP235" s="393" t="e">
        <f t="shared" si="93"/>
        <v>#DIV/0!</v>
      </c>
      <c r="AQ235" s="393" t="e">
        <f t="shared" si="94"/>
        <v>#DIV/0!</v>
      </c>
      <c r="AR235" s="393" t="e">
        <f t="shared" si="95"/>
        <v>#DIV/0!</v>
      </c>
      <c r="AS235" s="393" t="e">
        <f t="shared" si="96"/>
        <v>#DIV/0!</v>
      </c>
      <c r="AT235" s="393" t="e">
        <f t="shared" si="97"/>
        <v>#DIV/0!</v>
      </c>
      <c r="AU235" s="393">
        <f t="shared" si="98"/>
        <v>-100</v>
      </c>
      <c r="AV235" s="393" t="e">
        <f t="shared" si="99"/>
        <v>#DIV/0!</v>
      </c>
      <c r="AW235" s="393" t="e">
        <f t="shared" si="100"/>
        <v>#DIV/0!</v>
      </c>
      <c r="AX235" s="393" t="e">
        <f t="shared" si="101"/>
        <v>#DIV/0!</v>
      </c>
      <c r="AY235" s="393" t="e">
        <f t="shared" si="102"/>
        <v>#DIV/0!</v>
      </c>
      <c r="AZ235" s="393" t="e">
        <f t="shared" si="103"/>
        <v>#DIV/0!</v>
      </c>
      <c r="BA235" s="393" t="e">
        <f t="shared" si="104"/>
        <v>#DIV/0!</v>
      </c>
      <c r="BB235" s="393" t="e">
        <f t="shared" si="105"/>
        <v>#DIV/0!</v>
      </c>
    </row>
    <row r="236" spans="1:54" x14ac:dyDescent="0.25">
      <c r="A236" s="361" t="s">
        <v>1566</v>
      </c>
      <c r="B236" s="480"/>
      <c r="C236" s="480"/>
      <c r="D236" s="480"/>
      <c r="E236" s="480"/>
      <c r="F236" s="480"/>
      <c r="G236" s="480"/>
      <c r="H236" s="480"/>
      <c r="I236" s="480"/>
      <c r="J236" s="480"/>
      <c r="K236" s="480"/>
      <c r="L236" s="480"/>
      <c r="M236" s="480"/>
      <c r="N236" s="480"/>
      <c r="O236" s="480"/>
      <c r="P236" s="480">
        <f>1000/1800</f>
        <v>0.55559999999999998</v>
      </c>
      <c r="Q236" s="480">
        <f>1035/1800</f>
        <v>0.57499999999999996</v>
      </c>
      <c r="R236" s="480"/>
      <c r="S236" s="480"/>
      <c r="T236" s="480"/>
      <c r="U236" s="480"/>
      <c r="V236" s="480"/>
      <c r="W236" s="480"/>
      <c r="X236" s="480"/>
      <c r="Y236" s="480"/>
      <c r="Z236" s="480"/>
      <c r="AA236" s="480"/>
      <c r="AB236" s="480"/>
      <c r="AC236" s="393" t="e">
        <f t="shared" si="80"/>
        <v>#DIV/0!</v>
      </c>
      <c r="AD236" s="393" t="e">
        <f t="shared" si="81"/>
        <v>#DIV/0!</v>
      </c>
      <c r="AE236" s="393" t="e">
        <f t="shared" si="82"/>
        <v>#DIV/0!</v>
      </c>
      <c r="AF236" s="393" t="e">
        <f t="shared" si="83"/>
        <v>#DIV/0!</v>
      </c>
      <c r="AG236" s="393" t="e">
        <f t="shared" si="84"/>
        <v>#DIV/0!</v>
      </c>
      <c r="AH236" s="393" t="e">
        <f t="shared" si="85"/>
        <v>#DIV/0!</v>
      </c>
      <c r="AI236" s="393" t="e">
        <f t="shared" si="86"/>
        <v>#DIV/0!</v>
      </c>
      <c r="AJ236" s="393" t="e">
        <f t="shared" si="87"/>
        <v>#DIV/0!</v>
      </c>
      <c r="AK236" s="393" t="e">
        <f t="shared" si="88"/>
        <v>#DIV/0!</v>
      </c>
      <c r="AL236" s="393" t="e">
        <f t="shared" si="89"/>
        <v>#DIV/0!</v>
      </c>
      <c r="AM236" s="393" t="e">
        <f t="shared" si="90"/>
        <v>#DIV/0!</v>
      </c>
      <c r="AN236" s="393" t="e">
        <f t="shared" si="91"/>
        <v>#DIV/0!</v>
      </c>
      <c r="AO236" s="393" t="e">
        <f t="shared" si="92"/>
        <v>#DIV/0!</v>
      </c>
      <c r="AP236" s="393" t="e">
        <f t="shared" si="93"/>
        <v>#DIV/0!</v>
      </c>
      <c r="AQ236" s="393">
        <f t="shared" si="94"/>
        <v>3.492</v>
      </c>
      <c r="AR236" s="393">
        <f t="shared" si="95"/>
        <v>-100</v>
      </c>
      <c r="AS236" s="393" t="e">
        <f t="shared" si="96"/>
        <v>#DIV/0!</v>
      </c>
      <c r="AT236" s="393" t="e">
        <f t="shared" si="97"/>
        <v>#DIV/0!</v>
      </c>
      <c r="AU236" s="393" t="e">
        <f t="shared" si="98"/>
        <v>#DIV/0!</v>
      </c>
      <c r="AV236" s="393" t="e">
        <f t="shared" si="99"/>
        <v>#DIV/0!</v>
      </c>
      <c r="AW236" s="393" t="e">
        <f t="shared" si="100"/>
        <v>#DIV/0!</v>
      </c>
      <c r="AX236" s="393" t="e">
        <f t="shared" si="101"/>
        <v>#DIV/0!</v>
      </c>
      <c r="AY236" s="393" t="e">
        <f t="shared" si="102"/>
        <v>#DIV/0!</v>
      </c>
      <c r="AZ236" s="393" t="e">
        <f t="shared" si="103"/>
        <v>#DIV/0!</v>
      </c>
      <c r="BA236" s="393" t="e">
        <f t="shared" si="104"/>
        <v>#DIV/0!</v>
      </c>
      <c r="BB236" s="393" t="e">
        <f t="shared" si="105"/>
        <v>#DIV/0!</v>
      </c>
    </row>
    <row r="237" spans="1:54" x14ac:dyDescent="0.25">
      <c r="A237" s="360" t="s">
        <v>4773</v>
      </c>
      <c r="B237" s="480"/>
      <c r="C237" s="480"/>
      <c r="D237" s="480"/>
      <c r="E237" s="480"/>
      <c r="F237" s="480"/>
      <c r="G237" s="480"/>
      <c r="H237" s="480"/>
      <c r="I237" s="480"/>
      <c r="J237" s="480"/>
      <c r="K237" s="480"/>
      <c r="L237" s="480"/>
      <c r="M237" s="480"/>
      <c r="N237" s="480"/>
      <c r="O237" s="480"/>
      <c r="P237" s="480"/>
      <c r="Q237" s="480"/>
      <c r="R237" s="480"/>
      <c r="S237" s="480"/>
      <c r="T237" s="480"/>
      <c r="U237" s="480"/>
      <c r="V237" s="480"/>
      <c r="W237" s="480"/>
      <c r="X237" s="480"/>
      <c r="Y237" s="480"/>
      <c r="Z237" s="480"/>
      <c r="AA237" s="480"/>
      <c r="AB237" s="480">
        <v>0.59799999999999998</v>
      </c>
      <c r="AC237" s="393" t="e">
        <f t="shared" si="80"/>
        <v>#DIV/0!</v>
      </c>
      <c r="AD237" s="393" t="e">
        <f t="shared" si="81"/>
        <v>#DIV/0!</v>
      </c>
      <c r="AE237" s="393" t="e">
        <f t="shared" si="82"/>
        <v>#DIV/0!</v>
      </c>
      <c r="AF237" s="393" t="e">
        <f t="shared" si="83"/>
        <v>#DIV/0!</v>
      </c>
      <c r="AG237" s="393" t="e">
        <f t="shared" si="84"/>
        <v>#DIV/0!</v>
      </c>
      <c r="AH237" s="393" t="e">
        <f t="shared" si="85"/>
        <v>#DIV/0!</v>
      </c>
      <c r="AI237" s="393" t="e">
        <f t="shared" si="86"/>
        <v>#DIV/0!</v>
      </c>
      <c r="AJ237" s="393" t="e">
        <f t="shared" si="87"/>
        <v>#DIV/0!</v>
      </c>
      <c r="AK237" s="393" t="e">
        <f t="shared" si="88"/>
        <v>#DIV/0!</v>
      </c>
      <c r="AL237" s="393" t="e">
        <f t="shared" si="89"/>
        <v>#DIV/0!</v>
      </c>
      <c r="AM237" s="393" t="e">
        <f t="shared" si="90"/>
        <v>#DIV/0!</v>
      </c>
      <c r="AN237" s="393" t="e">
        <f t="shared" si="91"/>
        <v>#DIV/0!</v>
      </c>
      <c r="AO237" s="393" t="e">
        <f t="shared" si="92"/>
        <v>#DIV/0!</v>
      </c>
      <c r="AP237" s="393" t="e">
        <f t="shared" si="93"/>
        <v>#DIV/0!</v>
      </c>
      <c r="AQ237" s="393" t="e">
        <f t="shared" si="94"/>
        <v>#DIV/0!</v>
      </c>
      <c r="AR237" s="393" t="e">
        <f t="shared" si="95"/>
        <v>#DIV/0!</v>
      </c>
      <c r="AS237" s="393" t="e">
        <f t="shared" si="96"/>
        <v>#DIV/0!</v>
      </c>
      <c r="AT237" s="393" t="e">
        <f t="shared" si="97"/>
        <v>#DIV/0!</v>
      </c>
      <c r="AU237" s="393" t="e">
        <f t="shared" si="98"/>
        <v>#DIV/0!</v>
      </c>
      <c r="AV237" s="393" t="e">
        <f t="shared" si="99"/>
        <v>#DIV/0!</v>
      </c>
      <c r="AW237" s="393" t="e">
        <f t="shared" si="100"/>
        <v>#DIV/0!</v>
      </c>
      <c r="AX237" s="393" t="e">
        <f t="shared" si="101"/>
        <v>#DIV/0!</v>
      </c>
      <c r="AY237" s="393" t="e">
        <f t="shared" si="102"/>
        <v>#DIV/0!</v>
      </c>
      <c r="AZ237" s="393" t="e">
        <f t="shared" si="103"/>
        <v>#DIV/0!</v>
      </c>
      <c r="BA237" s="393" t="e">
        <f t="shared" si="104"/>
        <v>#DIV/0!</v>
      </c>
      <c r="BB237" s="393" t="e">
        <f t="shared" si="105"/>
        <v>#DIV/0!</v>
      </c>
    </row>
    <row r="238" spans="1:54" x14ac:dyDescent="0.25">
      <c r="A238" s="361" t="s">
        <v>1793</v>
      </c>
      <c r="B238" s="480"/>
      <c r="C238" s="480"/>
      <c r="D238" s="480"/>
      <c r="E238" s="480"/>
      <c r="F238" s="480"/>
      <c r="G238" s="480"/>
      <c r="H238" s="480"/>
      <c r="I238" s="480"/>
      <c r="J238" s="480"/>
      <c r="K238" s="480"/>
      <c r="L238" s="480"/>
      <c r="M238" s="480"/>
      <c r="N238" s="480"/>
      <c r="O238" s="480"/>
      <c r="P238" s="480"/>
      <c r="Q238" s="480"/>
      <c r="R238" s="480">
        <f>1137/1800</f>
        <v>0.63170000000000004</v>
      </c>
      <c r="S238" s="480"/>
      <c r="T238" s="480"/>
      <c r="U238" s="480"/>
      <c r="V238" s="480"/>
      <c r="W238" s="480"/>
      <c r="X238" s="480"/>
      <c r="Y238" s="480"/>
      <c r="Z238" s="480"/>
      <c r="AA238" s="480"/>
      <c r="AB238" s="480"/>
      <c r="AC238" s="393" t="e">
        <f t="shared" si="80"/>
        <v>#DIV/0!</v>
      </c>
      <c r="AD238" s="393" t="e">
        <f t="shared" si="81"/>
        <v>#DIV/0!</v>
      </c>
      <c r="AE238" s="393" t="e">
        <f t="shared" si="82"/>
        <v>#DIV/0!</v>
      </c>
      <c r="AF238" s="393" t="e">
        <f t="shared" si="83"/>
        <v>#DIV/0!</v>
      </c>
      <c r="AG238" s="393" t="e">
        <f t="shared" si="84"/>
        <v>#DIV/0!</v>
      </c>
      <c r="AH238" s="393" t="e">
        <f t="shared" si="85"/>
        <v>#DIV/0!</v>
      </c>
      <c r="AI238" s="393" t="e">
        <f t="shared" si="86"/>
        <v>#DIV/0!</v>
      </c>
      <c r="AJ238" s="393" t="e">
        <f t="shared" si="87"/>
        <v>#DIV/0!</v>
      </c>
      <c r="AK238" s="393" t="e">
        <f t="shared" si="88"/>
        <v>#DIV/0!</v>
      </c>
      <c r="AL238" s="393" t="e">
        <f t="shared" si="89"/>
        <v>#DIV/0!</v>
      </c>
      <c r="AM238" s="393" t="e">
        <f t="shared" si="90"/>
        <v>#DIV/0!</v>
      </c>
      <c r="AN238" s="393" t="e">
        <f t="shared" si="91"/>
        <v>#DIV/0!</v>
      </c>
      <c r="AO238" s="393" t="e">
        <f t="shared" si="92"/>
        <v>#DIV/0!</v>
      </c>
      <c r="AP238" s="393" t="e">
        <f t="shared" si="93"/>
        <v>#DIV/0!</v>
      </c>
      <c r="AQ238" s="393" t="e">
        <f t="shared" si="94"/>
        <v>#DIV/0!</v>
      </c>
      <c r="AR238" s="393" t="e">
        <f t="shared" si="95"/>
        <v>#DIV/0!</v>
      </c>
      <c r="AS238" s="393">
        <f t="shared" si="96"/>
        <v>-100</v>
      </c>
      <c r="AT238" s="393" t="e">
        <f t="shared" si="97"/>
        <v>#DIV/0!</v>
      </c>
      <c r="AU238" s="393" t="e">
        <f t="shared" si="98"/>
        <v>#DIV/0!</v>
      </c>
      <c r="AV238" s="393" t="e">
        <f t="shared" si="99"/>
        <v>#DIV/0!</v>
      </c>
      <c r="AW238" s="393" t="e">
        <f t="shared" si="100"/>
        <v>#DIV/0!</v>
      </c>
      <c r="AX238" s="393" t="e">
        <f t="shared" si="101"/>
        <v>#DIV/0!</v>
      </c>
      <c r="AY238" s="393" t="e">
        <f t="shared" si="102"/>
        <v>#DIV/0!</v>
      </c>
      <c r="AZ238" s="393" t="e">
        <f t="shared" si="103"/>
        <v>#DIV/0!</v>
      </c>
      <c r="BA238" s="393" t="e">
        <f t="shared" si="104"/>
        <v>#DIV/0!</v>
      </c>
      <c r="BB238" s="393" t="e">
        <f t="shared" si="105"/>
        <v>#DIV/0!</v>
      </c>
    </row>
    <row r="239" spans="1:54" x14ac:dyDescent="0.25">
      <c r="A239" s="361" t="s">
        <v>1204</v>
      </c>
      <c r="B239" s="480">
        <f>1098/1800</f>
        <v>0.61</v>
      </c>
      <c r="C239" s="480"/>
      <c r="D239" s="480"/>
      <c r="E239" s="480"/>
      <c r="F239" s="480"/>
      <c r="G239" s="480"/>
      <c r="H239" s="480"/>
      <c r="I239" s="480"/>
      <c r="J239" s="480"/>
      <c r="K239" s="480"/>
      <c r="L239" s="480"/>
      <c r="M239" s="480"/>
      <c r="N239" s="480"/>
      <c r="O239" s="480"/>
      <c r="P239" s="480"/>
      <c r="Q239" s="480"/>
      <c r="R239" s="480"/>
      <c r="S239" s="480"/>
      <c r="T239" s="480"/>
      <c r="U239" s="480"/>
      <c r="V239" s="480"/>
      <c r="W239" s="480"/>
      <c r="X239" s="480"/>
      <c r="Y239" s="480"/>
      <c r="Z239" s="480"/>
      <c r="AA239" s="480"/>
      <c r="AB239" s="480"/>
      <c r="AC239" s="393">
        <f t="shared" si="80"/>
        <v>-100</v>
      </c>
      <c r="AD239" s="393" t="e">
        <f t="shared" si="81"/>
        <v>#DIV/0!</v>
      </c>
      <c r="AE239" s="393" t="e">
        <f t="shared" si="82"/>
        <v>#DIV/0!</v>
      </c>
      <c r="AF239" s="393" t="e">
        <f t="shared" si="83"/>
        <v>#DIV/0!</v>
      </c>
      <c r="AG239" s="393" t="e">
        <f t="shared" si="84"/>
        <v>#DIV/0!</v>
      </c>
      <c r="AH239" s="393" t="e">
        <f t="shared" si="85"/>
        <v>#DIV/0!</v>
      </c>
      <c r="AI239" s="393" t="e">
        <f t="shared" si="86"/>
        <v>#DIV/0!</v>
      </c>
      <c r="AJ239" s="393" t="e">
        <f t="shared" si="87"/>
        <v>#DIV/0!</v>
      </c>
      <c r="AK239" s="393" t="e">
        <f t="shared" si="88"/>
        <v>#DIV/0!</v>
      </c>
      <c r="AL239" s="393" t="e">
        <f t="shared" si="89"/>
        <v>#DIV/0!</v>
      </c>
      <c r="AM239" s="393" t="e">
        <f t="shared" si="90"/>
        <v>#DIV/0!</v>
      </c>
      <c r="AN239" s="393" t="e">
        <f t="shared" si="91"/>
        <v>#DIV/0!</v>
      </c>
      <c r="AO239" s="393" t="e">
        <f t="shared" si="92"/>
        <v>#DIV/0!</v>
      </c>
      <c r="AP239" s="393" t="e">
        <f t="shared" si="93"/>
        <v>#DIV/0!</v>
      </c>
      <c r="AQ239" s="393" t="e">
        <f t="shared" si="94"/>
        <v>#DIV/0!</v>
      </c>
      <c r="AR239" s="393" t="e">
        <f t="shared" si="95"/>
        <v>#DIV/0!</v>
      </c>
      <c r="AS239" s="393" t="e">
        <f t="shared" si="96"/>
        <v>#DIV/0!</v>
      </c>
      <c r="AT239" s="393" t="e">
        <f t="shared" si="97"/>
        <v>#DIV/0!</v>
      </c>
      <c r="AU239" s="393" t="e">
        <f t="shared" si="98"/>
        <v>#DIV/0!</v>
      </c>
      <c r="AV239" s="393" t="e">
        <f t="shared" si="99"/>
        <v>#DIV/0!</v>
      </c>
      <c r="AW239" s="393" t="e">
        <f t="shared" si="100"/>
        <v>#DIV/0!</v>
      </c>
      <c r="AX239" s="393" t="e">
        <f t="shared" si="101"/>
        <v>#DIV/0!</v>
      </c>
      <c r="AY239" s="393" t="e">
        <f t="shared" si="102"/>
        <v>#DIV/0!</v>
      </c>
      <c r="AZ239" s="393" t="e">
        <f t="shared" si="103"/>
        <v>#DIV/0!</v>
      </c>
      <c r="BA239" s="393" t="e">
        <f t="shared" si="104"/>
        <v>#DIV/0!</v>
      </c>
      <c r="BB239" s="393" t="e">
        <f t="shared" si="105"/>
        <v>#DIV/0!</v>
      </c>
    </row>
    <row r="240" spans="1:54" x14ac:dyDescent="0.25">
      <c r="A240" s="361" t="s">
        <v>1556</v>
      </c>
      <c r="B240" s="480"/>
      <c r="C240" s="480"/>
      <c r="D240" s="480"/>
      <c r="E240" s="480"/>
      <c r="F240" s="480"/>
      <c r="G240" s="480"/>
      <c r="H240" s="480"/>
      <c r="I240" s="480"/>
      <c r="J240" s="480"/>
      <c r="K240" s="480"/>
      <c r="L240" s="480"/>
      <c r="M240" s="480"/>
      <c r="N240" s="480"/>
      <c r="O240" s="480">
        <f>682/1200</f>
        <v>0.56830000000000003</v>
      </c>
      <c r="P240" s="480"/>
      <c r="Q240" s="480"/>
      <c r="R240" s="480"/>
      <c r="S240" s="480"/>
      <c r="T240" s="480"/>
      <c r="U240" s="480"/>
      <c r="V240" s="480"/>
      <c r="W240" s="480"/>
      <c r="X240" s="480"/>
      <c r="Y240" s="480"/>
      <c r="Z240" s="480"/>
      <c r="AA240" s="480"/>
      <c r="AB240" s="480"/>
      <c r="AC240" s="393" t="e">
        <f t="shared" si="80"/>
        <v>#DIV/0!</v>
      </c>
      <c r="AD240" s="393" t="e">
        <f t="shared" si="81"/>
        <v>#DIV/0!</v>
      </c>
      <c r="AE240" s="393" t="e">
        <f t="shared" si="82"/>
        <v>#DIV/0!</v>
      </c>
      <c r="AF240" s="393" t="e">
        <f t="shared" si="83"/>
        <v>#DIV/0!</v>
      </c>
      <c r="AG240" s="393" t="e">
        <f t="shared" si="84"/>
        <v>#DIV/0!</v>
      </c>
      <c r="AH240" s="393" t="e">
        <f t="shared" si="85"/>
        <v>#DIV/0!</v>
      </c>
      <c r="AI240" s="393" t="e">
        <f t="shared" si="86"/>
        <v>#DIV/0!</v>
      </c>
      <c r="AJ240" s="393" t="e">
        <f t="shared" si="87"/>
        <v>#DIV/0!</v>
      </c>
      <c r="AK240" s="393" t="e">
        <f t="shared" si="88"/>
        <v>#DIV/0!</v>
      </c>
      <c r="AL240" s="393" t="e">
        <f t="shared" si="89"/>
        <v>#DIV/0!</v>
      </c>
      <c r="AM240" s="393" t="e">
        <f t="shared" si="90"/>
        <v>#DIV/0!</v>
      </c>
      <c r="AN240" s="393" t="e">
        <f t="shared" si="91"/>
        <v>#DIV/0!</v>
      </c>
      <c r="AO240" s="393" t="e">
        <f t="shared" si="92"/>
        <v>#DIV/0!</v>
      </c>
      <c r="AP240" s="393">
        <f t="shared" si="93"/>
        <v>-100</v>
      </c>
      <c r="AQ240" s="393" t="e">
        <f t="shared" si="94"/>
        <v>#DIV/0!</v>
      </c>
      <c r="AR240" s="393" t="e">
        <f t="shared" si="95"/>
        <v>#DIV/0!</v>
      </c>
      <c r="AS240" s="393" t="e">
        <f t="shared" si="96"/>
        <v>#DIV/0!</v>
      </c>
      <c r="AT240" s="393" t="e">
        <f t="shared" si="97"/>
        <v>#DIV/0!</v>
      </c>
      <c r="AU240" s="393" t="e">
        <f t="shared" si="98"/>
        <v>#DIV/0!</v>
      </c>
      <c r="AV240" s="393" t="e">
        <f t="shared" si="99"/>
        <v>#DIV/0!</v>
      </c>
      <c r="AW240" s="393" t="e">
        <f t="shared" si="100"/>
        <v>#DIV/0!</v>
      </c>
      <c r="AX240" s="393" t="e">
        <f t="shared" si="101"/>
        <v>#DIV/0!</v>
      </c>
      <c r="AY240" s="393" t="e">
        <f t="shared" si="102"/>
        <v>#DIV/0!</v>
      </c>
      <c r="AZ240" s="393" t="e">
        <f t="shared" si="103"/>
        <v>#DIV/0!</v>
      </c>
      <c r="BA240" s="393" t="e">
        <f t="shared" si="104"/>
        <v>#DIV/0!</v>
      </c>
      <c r="BB240" s="393" t="e">
        <f t="shared" si="105"/>
        <v>#DIV/0!</v>
      </c>
    </row>
    <row r="241" spans="1:54" x14ac:dyDescent="0.25">
      <c r="A241" s="355" t="s">
        <v>818</v>
      </c>
      <c r="B241" s="480"/>
      <c r="C241" s="480"/>
      <c r="D241" s="480"/>
      <c r="E241" s="480"/>
      <c r="F241" s="480"/>
      <c r="G241" s="480"/>
      <c r="H241" s="480">
        <f>773/1200</f>
        <v>0.64419999999999999</v>
      </c>
      <c r="I241" s="480">
        <f>759/1200</f>
        <v>0.63249999999999995</v>
      </c>
      <c r="J241" s="480"/>
      <c r="K241" s="480"/>
      <c r="L241" s="480"/>
      <c r="M241" s="480"/>
      <c r="N241" s="480"/>
      <c r="O241" s="480"/>
      <c r="P241" s="480"/>
      <c r="Q241" s="480"/>
      <c r="R241" s="480"/>
      <c r="S241" s="480"/>
      <c r="T241" s="480"/>
      <c r="U241" s="480"/>
      <c r="V241" s="480"/>
      <c r="W241" s="480"/>
      <c r="X241" s="480"/>
      <c r="Y241" s="480"/>
      <c r="Z241" s="480"/>
      <c r="AA241" s="480"/>
      <c r="AB241" s="480"/>
      <c r="AC241" s="393" t="e">
        <f t="shared" si="80"/>
        <v>#DIV/0!</v>
      </c>
      <c r="AD241" s="393" t="e">
        <f t="shared" si="81"/>
        <v>#DIV/0!</v>
      </c>
      <c r="AE241" s="393" t="e">
        <f t="shared" si="82"/>
        <v>#DIV/0!</v>
      </c>
      <c r="AF241" s="393" t="e">
        <f t="shared" si="83"/>
        <v>#DIV/0!</v>
      </c>
      <c r="AG241" s="393" t="e">
        <f t="shared" si="84"/>
        <v>#DIV/0!</v>
      </c>
      <c r="AH241" s="393" t="e">
        <f t="shared" si="85"/>
        <v>#DIV/0!</v>
      </c>
      <c r="AI241" s="393">
        <f t="shared" si="86"/>
        <v>-1.8160000000000001</v>
      </c>
      <c r="AJ241" s="393">
        <f t="shared" si="87"/>
        <v>-100</v>
      </c>
      <c r="AK241" s="393" t="e">
        <f t="shared" si="88"/>
        <v>#DIV/0!</v>
      </c>
      <c r="AL241" s="393" t="e">
        <f t="shared" si="89"/>
        <v>#DIV/0!</v>
      </c>
      <c r="AM241" s="393" t="e">
        <f t="shared" si="90"/>
        <v>#DIV/0!</v>
      </c>
      <c r="AN241" s="393" t="e">
        <f t="shared" si="91"/>
        <v>#DIV/0!</v>
      </c>
      <c r="AO241" s="393" t="e">
        <f t="shared" si="92"/>
        <v>#DIV/0!</v>
      </c>
      <c r="AP241" s="393" t="e">
        <f t="shared" si="93"/>
        <v>#DIV/0!</v>
      </c>
      <c r="AQ241" s="393" t="e">
        <f t="shared" si="94"/>
        <v>#DIV/0!</v>
      </c>
      <c r="AR241" s="393" t="e">
        <f t="shared" si="95"/>
        <v>#DIV/0!</v>
      </c>
      <c r="AS241" s="393" t="e">
        <f t="shared" si="96"/>
        <v>#DIV/0!</v>
      </c>
      <c r="AT241" s="393" t="e">
        <f t="shared" si="97"/>
        <v>#DIV/0!</v>
      </c>
      <c r="AU241" s="393" t="e">
        <f t="shared" si="98"/>
        <v>#DIV/0!</v>
      </c>
      <c r="AV241" s="393" t="e">
        <f t="shared" si="99"/>
        <v>#DIV/0!</v>
      </c>
      <c r="AW241" s="393" t="e">
        <f t="shared" si="100"/>
        <v>#DIV/0!</v>
      </c>
      <c r="AX241" s="393" t="e">
        <f t="shared" si="101"/>
        <v>#DIV/0!</v>
      </c>
      <c r="AY241" s="393" t="e">
        <f t="shared" si="102"/>
        <v>#DIV/0!</v>
      </c>
      <c r="AZ241" s="393" t="e">
        <f t="shared" si="103"/>
        <v>#DIV/0!</v>
      </c>
      <c r="BA241" s="393" t="e">
        <f t="shared" si="104"/>
        <v>#DIV/0!</v>
      </c>
      <c r="BB241" s="393" t="e">
        <f t="shared" si="105"/>
        <v>#DIV/0!</v>
      </c>
    </row>
    <row r="242" spans="1:54" x14ac:dyDescent="0.25">
      <c r="A242" s="361" t="s">
        <v>1898</v>
      </c>
      <c r="B242" s="480"/>
      <c r="C242" s="480"/>
      <c r="D242" s="480"/>
      <c r="E242" s="480"/>
      <c r="F242" s="480"/>
      <c r="G242" s="480"/>
      <c r="H242" s="480"/>
      <c r="I242" s="480"/>
      <c r="J242" s="480"/>
      <c r="K242" s="480"/>
      <c r="L242" s="480"/>
      <c r="M242" s="480"/>
      <c r="N242" s="480"/>
      <c r="O242" s="480"/>
      <c r="P242" s="480"/>
      <c r="Q242" s="480"/>
      <c r="R242" s="480"/>
      <c r="S242" s="480"/>
      <c r="T242" s="480"/>
      <c r="U242" s="480"/>
      <c r="V242" s="480"/>
      <c r="W242" s="480"/>
      <c r="X242" s="480"/>
      <c r="Y242" s="480"/>
      <c r="Z242" s="480"/>
      <c r="AA242" s="480"/>
      <c r="AB242" s="480">
        <v>0.71199999999999997</v>
      </c>
      <c r="AC242" s="393" t="e">
        <f t="shared" si="80"/>
        <v>#DIV/0!</v>
      </c>
      <c r="AD242" s="393" t="e">
        <f t="shared" si="81"/>
        <v>#DIV/0!</v>
      </c>
      <c r="AE242" s="393" t="e">
        <f t="shared" si="82"/>
        <v>#DIV/0!</v>
      </c>
      <c r="AF242" s="393" t="e">
        <f t="shared" si="83"/>
        <v>#DIV/0!</v>
      </c>
      <c r="AG242" s="393" t="e">
        <f t="shared" si="84"/>
        <v>#DIV/0!</v>
      </c>
      <c r="AH242" s="393" t="e">
        <f t="shared" si="85"/>
        <v>#DIV/0!</v>
      </c>
      <c r="AI242" s="393" t="e">
        <f t="shared" si="86"/>
        <v>#DIV/0!</v>
      </c>
      <c r="AJ242" s="393" t="e">
        <f t="shared" si="87"/>
        <v>#DIV/0!</v>
      </c>
      <c r="AK242" s="393" t="e">
        <f t="shared" si="88"/>
        <v>#DIV/0!</v>
      </c>
      <c r="AL242" s="393" t="e">
        <f t="shared" si="89"/>
        <v>#DIV/0!</v>
      </c>
      <c r="AM242" s="393" t="e">
        <f t="shared" si="90"/>
        <v>#DIV/0!</v>
      </c>
      <c r="AN242" s="393" t="e">
        <f t="shared" si="91"/>
        <v>#DIV/0!</v>
      </c>
      <c r="AO242" s="393" t="e">
        <f t="shared" si="92"/>
        <v>#DIV/0!</v>
      </c>
      <c r="AP242" s="393" t="e">
        <f t="shared" si="93"/>
        <v>#DIV/0!</v>
      </c>
      <c r="AQ242" s="393" t="e">
        <f t="shared" si="94"/>
        <v>#DIV/0!</v>
      </c>
      <c r="AR242" s="393" t="e">
        <f t="shared" si="95"/>
        <v>#DIV/0!</v>
      </c>
      <c r="AS242" s="393" t="e">
        <f t="shared" si="96"/>
        <v>#DIV/0!</v>
      </c>
      <c r="AT242" s="393" t="e">
        <f t="shared" si="97"/>
        <v>#DIV/0!</v>
      </c>
      <c r="AU242" s="393" t="e">
        <f t="shared" si="98"/>
        <v>#DIV/0!</v>
      </c>
      <c r="AV242" s="393" t="e">
        <f t="shared" si="99"/>
        <v>#DIV/0!</v>
      </c>
      <c r="AW242" s="393" t="e">
        <f t="shared" si="100"/>
        <v>#DIV/0!</v>
      </c>
      <c r="AX242" s="393" t="e">
        <f t="shared" si="101"/>
        <v>#DIV/0!</v>
      </c>
      <c r="AY242" s="393" t="e">
        <f t="shared" si="102"/>
        <v>#DIV/0!</v>
      </c>
      <c r="AZ242" s="393" t="e">
        <f t="shared" si="103"/>
        <v>#DIV/0!</v>
      </c>
      <c r="BA242" s="393" t="e">
        <f t="shared" si="104"/>
        <v>#DIV/0!</v>
      </c>
      <c r="BB242" s="393" t="e">
        <f t="shared" si="105"/>
        <v>#DIV/0!</v>
      </c>
    </row>
    <row r="243" spans="1:54" x14ac:dyDescent="0.25">
      <c r="A243" s="360" t="s">
        <v>1315</v>
      </c>
      <c r="B243" s="480"/>
      <c r="C243" s="480"/>
      <c r="D243" s="480">
        <f>666/1800</f>
        <v>0.37</v>
      </c>
      <c r="E243" s="480">
        <f>712/1800</f>
        <v>0.39560000000000001</v>
      </c>
      <c r="F243" s="480"/>
      <c r="G243" s="480"/>
      <c r="H243" s="480"/>
      <c r="I243" s="480"/>
      <c r="J243" s="480"/>
      <c r="K243" s="480"/>
      <c r="L243" s="480"/>
      <c r="M243" s="480"/>
      <c r="N243" s="480"/>
      <c r="O243" s="480"/>
      <c r="P243" s="480"/>
      <c r="Q243" s="480"/>
      <c r="R243" s="480"/>
      <c r="S243" s="480"/>
      <c r="T243" s="480"/>
      <c r="U243" s="480"/>
      <c r="V243" s="480"/>
      <c r="W243" s="480"/>
      <c r="X243" s="480"/>
      <c r="Y243" s="480"/>
      <c r="Z243" s="480"/>
      <c r="AA243" s="480"/>
      <c r="AB243" s="480"/>
      <c r="AC243" s="393" t="e">
        <f t="shared" si="80"/>
        <v>#DIV/0!</v>
      </c>
      <c r="AD243" s="393" t="e">
        <f t="shared" si="81"/>
        <v>#DIV/0!</v>
      </c>
      <c r="AE243" s="393">
        <f t="shared" si="82"/>
        <v>6.9189999999999996</v>
      </c>
      <c r="AF243" s="393">
        <f t="shared" si="83"/>
        <v>-100</v>
      </c>
      <c r="AG243" s="393" t="e">
        <f t="shared" si="84"/>
        <v>#DIV/0!</v>
      </c>
      <c r="AH243" s="393" t="e">
        <f t="shared" si="85"/>
        <v>#DIV/0!</v>
      </c>
      <c r="AI243" s="393" t="e">
        <f t="shared" si="86"/>
        <v>#DIV/0!</v>
      </c>
      <c r="AJ243" s="393" t="e">
        <f t="shared" si="87"/>
        <v>#DIV/0!</v>
      </c>
      <c r="AK243" s="393" t="e">
        <f t="shared" si="88"/>
        <v>#DIV/0!</v>
      </c>
      <c r="AL243" s="393" t="e">
        <f t="shared" si="89"/>
        <v>#DIV/0!</v>
      </c>
      <c r="AM243" s="393" t="e">
        <f t="shared" si="90"/>
        <v>#DIV/0!</v>
      </c>
      <c r="AN243" s="393" t="e">
        <f t="shared" si="91"/>
        <v>#DIV/0!</v>
      </c>
      <c r="AO243" s="393" t="e">
        <f t="shared" si="92"/>
        <v>#DIV/0!</v>
      </c>
      <c r="AP243" s="393" t="e">
        <f t="shared" si="93"/>
        <v>#DIV/0!</v>
      </c>
      <c r="AQ243" s="393" t="e">
        <f t="shared" si="94"/>
        <v>#DIV/0!</v>
      </c>
      <c r="AR243" s="393" t="e">
        <f t="shared" si="95"/>
        <v>#DIV/0!</v>
      </c>
      <c r="AS243" s="393" t="e">
        <f t="shared" si="96"/>
        <v>#DIV/0!</v>
      </c>
      <c r="AT243" s="393" t="e">
        <f t="shared" si="97"/>
        <v>#DIV/0!</v>
      </c>
      <c r="AU243" s="393" t="e">
        <f t="shared" si="98"/>
        <v>#DIV/0!</v>
      </c>
      <c r="AV243" s="393" t="e">
        <f t="shared" si="99"/>
        <v>#DIV/0!</v>
      </c>
      <c r="AW243" s="393" t="e">
        <f t="shared" si="100"/>
        <v>#DIV/0!</v>
      </c>
      <c r="AX243" s="393" t="e">
        <f t="shared" si="101"/>
        <v>#DIV/0!</v>
      </c>
      <c r="AY243" s="393" t="e">
        <f t="shared" si="102"/>
        <v>#DIV/0!</v>
      </c>
      <c r="AZ243" s="393" t="e">
        <f t="shared" si="103"/>
        <v>#DIV/0!</v>
      </c>
      <c r="BA243" s="393" t="e">
        <f t="shared" si="104"/>
        <v>#DIV/0!</v>
      </c>
      <c r="BB243" s="393" t="e">
        <f t="shared" si="105"/>
        <v>#DIV/0!</v>
      </c>
    </row>
    <row r="244" spans="1:54" x14ac:dyDescent="0.25">
      <c r="A244" s="361" t="s">
        <v>1792</v>
      </c>
      <c r="B244" s="480"/>
      <c r="C244" s="480"/>
      <c r="D244" s="480"/>
      <c r="E244" s="480"/>
      <c r="F244" s="480"/>
      <c r="G244" s="480"/>
      <c r="H244" s="480"/>
      <c r="I244" s="480"/>
      <c r="J244" s="480"/>
      <c r="K244" s="480"/>
      <c r="L244" s="480"/>
      <c r="M244" s="480"/>
      <c r="N244" s="480"/>
      <c r="O244" s="480"/>
      <c r="P244" s="480"/>
      <c r="Q244" s="480"/>
      <c r="R244" s="480">
        <f>1199/1800</f>
        <v>0.66610000000000003</v>
      </c>
      <c r="S244" s="480"/>
      <c r="T244" s="480">
        <f>900/1200</f>
        <v>0.75</v>
      </c>
      <c r="U244" s="480"/>
      <c r="V244" s="480"/>
      <c r="W244" s="480"/>
      <c r="X244" s="480"/>
      <c r="Y244" s="480"/>
      <c r="Z244" s="480"/>
      <c r="AA244" s="480"/>
      <c r="AB244" s="480"/>
      <c r="AC244" s="393" t="e">
        <f t="shared" si="80"/>
        <v>#DIV/0!</v>
      </c>
      <c r="AD244" s="393" t="e">
        <f t="shared" si="81"/>
        <v>#DIV/0!</v>
      </c>
      <c r="AE244" s="393" t="e">
        <f t="shared" si="82"/>
        <v>#DIV/0!</v>
      </c>
      <c r="AF244" s="393" t="e">
        <f t="shared" si="83"/>
        <v>#DIV/0!</v>
      </c>
      <c r="AG244" s="393" t="e">
        <f t="shared" si="84"/>
        <v>#DIV/0!</v>
      </c>
      <c r="AH244" s="393" t="e">
        <f t="shared" si="85"/>
        <v>#DIV/0!</v>
      </c>
      <c r="AI244" s="393" t="e">
        <f t="shared" si="86"/>
        <v>#DIV/0!</v>
      </c>
      <c r="AJ244" s="393" t="e">
        <f t="shared" si="87"/>
        <v>#DIV/0!</v>
      </c>
      <c r="AK244" s="393" t="e">
        <f t="shared" si="88"/>
        <v>#DIV/0!</v>
      </c>
      <c r="AL244" s="393" t="e">
        <f t="shared" si="89"/>
        <v>#DIV/0!</v>
      </c>
      <c r="AM244" s="393" t="e">
        <f t="shared" si="90"/>
        <v>#DIV/0!</v>
      </c>
      <c r="AN244" s="393" t="e">
        <f t="shared" si="91"/>
        <v>#DIV/0!</v>
      </c>
      <c r="AO244" s="393" t="e">
        <f t="shared" si="92"/>
        <v>#DIV/0!</v>
      </c>
      <c r="AP244" s="393" t="e">
        <f t="shared" si="93"/>
        <v>#DIV/0!</v>
      </c>
      <c r="AQ244" s="393" t="e">
        <f t="shared" si="94"/>
        <v>#DIV/0!</v>
      </c>
      <c r="AR244" s="393" t="e">
        <f t="shared" si="95"/>
        <v>#DIV/0!</v>
      </c>
      <c r="AS244" s="393">
        <f t="shared" si="96"/>
        <v>-100</v>
      </c>
      <c r="AT244" s="393" t="e">
        <f t="shared" si="97"/>
        <v>#DIV/0!</v>
      </c>
      <c r="AU244" s="393">
        <f t="shared" si="98"/>
        <v>-100</v>
      </c>
      <c r="AV244" s="393" t="e">
        <f t="shared" si="99"/>
        <v>#DIV/0!</v>
      </c>
      <c r="AW244" s="393" t="e">
        <f t="shared" si="100"/>
        <v>#DIV/0!</v>
      </c>
      <c r="AX244" s="393" t="e">
        <f t="shared" si="101"/>
        <v>#DIV/0!</v>
      </c>
      <c r="AY244" s="393" t="e">
        <f t="shared" si="102"/>
        <v>#DIV/0!</v>
      </c>
      <c r="AZ244" s="393" t="e">
        <f t="shared" si="103"/>
        <v>#DIV/0!</v>
      </c>
      <c r="BA244" s="393" t="e">
        <f t="shared" si="104"/>
        <v>#DIV/0!</v>
      </c>
      <c r="BB244" s="393" t="e">
        <f t="shared" si="105"/>
        <v>#DIV/0!</v>
      </c>
    </row>
    <row r="245" spans="1:54" x14ac:dyDescent="0.25">
      <c r="A245" s="565" t="s">
        <v>1207</v>
      </c>
      <c r="B245" s="480">
        <f>848/1800</f>
        <v>0.47110000000000002</v>
      </c>
      <c r="C245" s="480"/>
      <c r="D245" s="480"/>
      <c r="E245" s="480"/>
      <c r="F245" s="480"/>
      <c r="G245" s="480"/>
      <c r="H245" s="480"/>
      <c r="I245" s="480"/>
      <c r="J245" s="480"/>
      <c r="K245" s="480"/>
      <c r="L245" s="480"/>
      <c r="M245" s="480"/>
      <c r="N245" s="480"/>
      <c r="O245" s="480"/>
      <c r="P245" s="480"/>
      <c r="Q245" s="480"/>
      <c r="R245" s="480"/>
      <c r="S245" s="480"/>
      <c r="T245" s="480"/>
      <c r="U245" s="480"/>
      <c r="V245" s="480"/>
      <c r="W245" s="480"/>
      <c r="X245" s="480"/>
      <c r="Y245" s="480"/>
      <c r="Z245" s="480"/>
      <c r="AA245" s="480"/>
      <c r="AB245" s="480"/>
      <c r="AC245" s="393">
        <f t="shared" si="80"/>
        <v>-100</v>
      </c>
      <c r="AD245" s="393" t="e">
        <f t="shared" si="81"/>
        <v>#DIV/0!</v>
      </c>
      <c r="AE245" s="393" t="e">
        <f t="shared" si="82"/>
        <v>#DIV/0!</v>
      </c>
      <c r="AF245" s="393" t="e">
        <f t="shared" si="83"/>
        <v>#DIV/0!</v>
      </c>
      <c r="AG245" s="393" t="e">
        <f t="shared" si="84"/>
        <v>#DIV/0!</v>
      </c>
      <c r="AH245" s="393" t="e">
        <f t="shared" si="85"/>
        <v>#DIV/0!</v>
      </c>
      <c r="AI245" s="393" t="e">
        <f t="shared" si="86"/>
        <v>#DIV/0!</v>
      </c>
      <c r="AJ245" s="393" t="e">
        <f t="shared" si="87"/>
        <v>#DIV/0!</v>
      </c>
      <c r="AK245" s="393" t="e">
        <f t="shared" si="88"/>
        <v>#DIV/0!</v>
      </c>
      <c r="AL245" s="393" t="e">
        <f t="shared" si="89"/>
        <v>#DIV/0!</v>
      </c>
      <c r="AM245" s="393" t="e">
        <f t="shared" si="90"/>
        <v>#DIV/0!</v>
      </c>
      <c r="AN245" s="393" t="e">
        <f t="shared" si="91"/>
        <v>#DIV/0!</v>
      </c>
      <c r="AO245" s="393" t="e">
        <f t="shared" si="92"/>
        <v>#DIV/0!</v>
      </c>
      <c r="AP245" s="393" t="e">
        <f t="shared" si="93"/>
        <v>#DIV/0!</v>
      </c>
      <c r="AQ245" s="393" t="e">
        <f t="shared" si="94"/>
        <v>#DIV/0!</v>
      </c>
      <c r="AR245" s="393" t="e">
        <f t="shared" si="95"/>
        <v>#DIV/0!</v>
      </c>
      <c r="AS245" s="393" t="e">
        <f t="shared" si="96"/>
        <v>#DIV/0!</v>
      </c>
      <c r="AT245" s="393" t="e">
        <f t="shared" si="97"/>
        <v>#DIV/0!</v>
      </c>
      <c r="AU245" s="393" t="e">
        <f t="shared" si="98"/>
        <v>#DIV/0!</v>
      </c>
      <c r="AV245" s="393" t="e">
        <f t="shared" si="99"/>
        <v>#DIV/0!</v>
      </c>
      <c r="AW245" s="393" t="e">
        <f t="shared" si="100"/>
        <v>#DIV/0!</v>
      </c>
      <c r="AX245" s="393" t="e">
        <f t="shared" si="101"/>
        <v>#DIV/0!</v>
      </c>
      <c r="AY245" s="393" t="e">
        <f t="shared" si="102"/>
        <v>#DIV/0!</v>
      </c>
      <c r="AZ245" s="393" t="e">
        <f t="shared" si="103"/>
        <v>#DIV/0!</v>
      </c>
      <c r="BA245" s="393" t="e">
        <f t="shared" si="104"/>
        <v>#DIV/0!</v>
      </c>
      <c r="BB245" s="393" t="e">
        <f t="shared" si="105"/>
        <v>#DIV/0!</v>
      </c>
    </row>
    <row r="246" spans="1:54" x14ac:dyDescent="0.25">
      <c r="A246" s="361" t="s">
        <v>1558</v>
      </c>
      <c r="B246" s="480"/>
      <c r="C246" s="480"/>
      <c r="D246" s="480"/>
      <c r="E246" s="480"/>
      <c r="F246" s="480"/>
      <c r="G246" s="480"/>
      <c r="H246" s="480"/>
      <c r="I246" s="480"/>
      <c r="J246" s="480"/>
      <c r="K246" s="480"/>
      <c r="L246" s="480"/>
      <c r="M246" s="480"/>
      <c r="N246" s="480"/>
      <c r="O246" s="480">
        <f>637/1200</f>
        <v>0.53080000000000005</v>
      </c>
      <c r="P246" s="480">
        <f>979/1800</f>
        <v>0.54390000000000005</v>
      </c>
      <c r="Q246" s="480"/>
      <c r="R246" s="480"/>
      <c r="S246" s="480"/>
      <c r="T246" s="480"/>
      <c r="U246" s="480"/>
      <c r="V246" s="480"/>
      <c r="W246" s="480"/>
      <c r="X246" s="480"/>
      <c r="Y246" s="480"/>
      <c r="Z246" s="480"/>
      <c r="AA246" s="480"/>
      <c r="AB246" s="480"/>
      <c r="AC246" s="393" t="e">
        <f t="shared" si="80"/>
        <v>#DIV/0!</v>
      </c>
      <c r="AD246" s="393" t="e">
        <f t="shared" si="81"/>
        <v>#DIV/0!</v>
      </c>
      <c r="AE246" s="393" t="e">
        <f t="shared" si="82"/>
        <v>#DIV/0!</v>
      </c>
      <c r="AF246" s="393" t="e">
        <f t="shared" si="83"/>
        <v>#DIV/0!</v>
      </c>
      <c r="AG246" s="393" t="e">
        <f t="shared" si="84"/>
        <v>#DIV/0!</v>
      </c>
      <c r="AH246" s="393" t="e">
        <f t="shared" si="85"/>
        <v>#DIV/0!</v>
      </c>
      <c r="AI246" s="393" t="e">
        <f t="shared" si="86"/>
        <v>#DIV/0!</v>
      </c>
      <c r="AJ246" s="393" t="e">
        <f t="shared" si="87"/>
        <v>#DIV/0!</v>
      </c>
      <c r="AK246" s="393" t="e">
        <f t="shared" si="88"/>
        <v>#DIV/0!</v>
      </c>
      <c r="AL246" s="393" t="e">
        <f t="shared" si="89"/>
        <v>#DIV/0!</v>
      </c>
      <c r="AM246" s="393" t="e">
        <f t="shared" si="90"/>
        <v>#DIV/0!</v>
      </c>
      <c r="AN246" s="393" t="e">
        <f t="shared" si="91"/>
        <v>#DIV/0!</v>
      </c>
      <c r="AO246" s="393" t="e">
        <f t="shared" si="92"/>
        <v>#DIV/0!</v>
      </c>
      <c r="AP246" s="393">
        <f t="shared" si="93"/>
        <v>2.468</v>
      </c>
      <c r="AQ246" s="393">
        <f t="shared" si="94"/>
        <v>-100</v>
      </c>
      <c r="AR246" s="393" t="e">
        <f t="shared" si="95"/>
        <v>#DIV/0!</v>
      </c>
      <c r="AS246" s="393" t="e">
        <f t="shared" si="96"/>
        <v>#DIV/0!</v>
      </c>
      <c r="AT246" s="393" t="e">
        <f t="shared" si="97"/>
        <v>#DIV/0!</v>
      </c>
      <c r="AU246" s="393" t="e">
        <f t="shared" si="98"/>
        <v>#DIV/0!</v>
      </c>
      <c r="AV246" s="393" t="e">
        <f t="shared" si="99"/>
        <v>#DIV/0!</v>
      </c>
      <c r="AW246" s="393" t="e">
        <f t="shared" si="100"/>
        <v>#DIV/0!</v>
      </c>
      <c r="AX246" s="393" t="e">
        <f t="shared" si="101"/>
        <v>#DIV/0!</v>
      </c>
      <c r="AY246" s="393" t="e">
        <f t="shared" si="102"/>
        <v>#DIV/0!</v>
      </c>
      <c r="AZ246" s="393" t="e">
        <f t="shared" si="103"/>
        <v>#DIV/0!</v>
      </c>
      <c r="BA246" s="393" t="e">
        <f t="shared" si="104"/>
        <v>#DIV/0!</v>
      </c>
      <c r="BB246" s="393" t="e">
        <f t="shared" si="105"/>
        <v>#DIV/0!</v>
      </c>
    </row>
    <row r="247" spans="1:54" x14ac:dyDescent="0.25">
      <c r="A247" s="565" t="s">
        <v>3100</v>
      </c>
      <c r="B247" s="480">
        <f>1010/1800</f>
        <v>0.56110000000000004</v>
      </c>
      <c r="C247" s="480">
        <f>1129/1800</f>
        <v>0.62719999999999998</v>
      </c>
      <c r="D247" s="480"/>
      <c r="E247" s="480"/>
      <c r="F247" s="480"/>
      <c r="G247" s="480"/>
      <c r="H247" s="480"/>
      <c r="I247" s="480"/>
      <c r="J247" s="480"/>
      <c r="K247" s="480"/>
      <c r="L247" s="480"/>
      <c r="M247" s="480"/>
      <c r="N247" s="480"/>
      <c r="O247" s="480"/>
      <c r="P247" s="480"/>
      <c r="Q247" s="480"/>
      <c r="R247" s="480"/>
      <c r="S247" s="480"/>
      <c r="T247" s="480"/>
      <c r="U247" s="480"/>
      <c r="V247" s="480"/>
      <c r="W247" s="480"/>
      <c r="X247" s="480"/>
      <c r="Y247" s="480"/>
      <c r="Z247" s="480"/>
      <c r="AA247" s="480"/>
      <c r="AB247" s="480"/>
      <c r="AC247" s="393">
        <f t="shared" si="80"/>
        <v>11.78</v>
      </c>
      <c r="AD247" s="393">
        <f t="shared" si="81"/>
        <v>-100</v>
      </c>
      <c r="AE247" s="393" t="e">
        <f t="shared" si="82"/>
        <v>#DIV/0!</v>
      </c>
      <c r="AF247" s="393" t="e">
        <f t="shared" si="83"/>
        <v>#DIV/0!</v>
      </c>
      <c r="AG247" s="393" t="e">
        <f t="shared" si="84"/>
        <v>#DIV/0!</v>
      </c>
      <c r="AH247" s="393" t="e">
        <f t="shared" si="85"/>
        <v>#DIV/0!</v>
      </c>
      <c r="AI247" s="393" t="e">
        <f t="shared" si="86"/>
        <v>#DIV/0!</v>
      </c>
      <c r="AJ247" s="393" t="e">
        <f t="shared" si="87"/>
        <v>#DIV/0!</v>
      </c>
      <c r="AK247" s="393" t="e">
        <f t="shared" si="88"/>
        <v>#DIV/0!</v>
      </c>
      <c r="AL247" s="393" t="e">
        <f t="shared" si="89"/>
        <v>#DIV/0!</v>
      </c>
      <c r="AM247" s="393" t="e">
        <f t="shared" si="90"/>
        <v>#DIV/0!</v>
      </c>
      <c r="AN247" s="393" t="e">
        <f t="shared" si="91"/>
        <v>#DIV/0!</v>
      </c>
      <c r="AO247" s="393" t="e">
        <f t="shared" si="92"/>
        <v>#DIV/0!</v>
      </c>
      <c r="AP247" s="393" t="e">
        <f t="shared" si="93"/>
        <v>#DIV/0!</v>
      </c>
      <c r="AQ247" s="393" t="e">
        <f t="shared" si="94"/>
        <v>#DIV/0!</v>
      </c>
      <c r="AR247" s="393" t="e">
        <f t="shared" si="95"/>
        <v>#DIV/0!</v>
      </c>
      <c r="AS247" s="393" t="e">
        <f t="shared" si="96"/>
        <v>#DIV/0!</v>
      </c>
      <c r="AT247" s="393" t="e">
        <f t="shared" si="97"/>
        <v>#DIV/0!</v>
      </c>
      <c r="AU247" s="393" t="e">
        <f t="shared" si="98"/>
        <v>#DIV/0!</v>
      </c>
      <c r="AV247" s="393" t="e">
        <f t="shared" si="99"/>
        <v>#DIV/0!</v>
      </c>
      <c r="AW247" s="393" t="e">
        <f t="shared" si="100"/>
        <v>#DIV/0!</v>
      </c>
      <c r="AX247" s="393" t="e">
        <f t="shared" si="101"/>
        <v>#DIV/0!</v>
      </c>
      <c r="AY247" s="393" t="e">
        <f t="shared" si="102"/>
        <v>#DIV/0!</v>
      </c>
      <c r="AZ247" s="393" t="e">
        <f t="shared" si="103"/>
        <v>#DIV/0!</v>
      </c>
      <c r="BA247" s="393" t="e">
        <f t="shared" si="104"/>
        <v>#DIV/0!</v>
      </c>
      <c r="BB247" s="393" t="e">
        <f t="shared" si="105"/>
        <v>#DIV/0!</v>
      </c>
    </row>
    <row r="248" spans="1:54" x14ac:dyDescent="0.25">
      <c r="A248" s="361" t="s">
        <v>2333</v>
      </c>
      <c r="B248" s="480"/>
      <c r="C248" s="480"/>
      <c r="D248" s="480"/>
      <c r="E248" s="480"/>
      <c r="F248" s="480"/>
      <c r="G248" s="480"/>
      <c r="H248" s="480"/>
      <c r="I248" s="480"/>
      <c r="J248" s="480"/>
      <c r="K248" s="480"/>
      <c r="L248" s="480"/>
      <c r="M248" s="480"/>
      <c r="N248" s="480"/>
      <c r="O248" s="480"/>
      <c r="P248" s="480">
        <f>956/1800</f>
        <v>0.53110000000000002</v>
      </c>
      <c r="Q248" s="480">
        <f>974/1800</f>
        <v>0.54110000000000003</v>
      </c>
      <c r="R248" s="480"/>
      <c r="S248" s="480"/>
      <c r="T248" s="480"/>
      <c r="U248" s="480"/>
      <c r="V248" s="480"/>
      <c r="W248" s="480"/>
      <c r="X248" s="480"/>
      <c r="Y248" s="480"/>
      <c r="Z248" s="480"/>
      <c r="AA248" s="480"/>
      <c r="AB248" s="480"/>
      <c r="AC248" s="393" t="e">
        <f t="shared" si="80"/>
        <v>#DIV/0!</v>
      </c>
      <c r="AD248" s="393" t="e">
        <f t="shared" si="81"/>
        <v>#DIV/0!</v>
      </c>
      <c r="AE248" s="393" t="e">
        <f t="shared" si="82"/>
        <v>#DIV/0!</v>
      </c>
      <c r="AF248" s="393" t="e">
        <f t="shared" si="83"/>
        <v>#DIV/0!</v>
      </c>
      <c r="AG248" s="393" t="e">
        <f t="shared" si="84"/>
        <v>#DIV/0!</v>
      </c>
      <c r="AH248" s="393" t="e">
        <f t="shared" si="85"/>
        <v>#DIV/0!</v>
      </c>
      <c r="AI248" s="393" t="e">
        <f t="shared" si="86"/>
        <v>#DIV/0!</v>
      </c>
      <c r="AJ248" s="393" t="e">
        <f t="shared" si="87"/>
        <v>#DIV/0!</v>
      </c>
      <c r="AK248" s="393" t="e">
        <f t="shared" si="88"/>
        <v>#DIV/0!</v>
      </c>
      <c r="AL248" s="393" t="e">
        <f t="shared" si="89"/>
        <v>#DIV/0!</v>
      </c>
      <c r="AM248" s="393" t="e">
        <f t="shared" si="90"/>
        <v>#DIV/0!</v>
      </c>
      <c r="AN248" s="393" t="e">
        <f t="shared" si="91"/>
        <v>#DIV/0!</v>
      </c>
      <c r="AO248" s="393" t="e">
        <f t="shared" si="92"/>
        <v>#DIV/0!</v>
      </c>
      <c r="AP248" s="393" t="e">
        <f t="shared" si="93"/>
        <v>#DIV/0!</v>
      </c>
      <c r="AQ248" s="393">
        <f t="shared" si="94"/>
        <v>1.883</v>
      </c>
      <c r="AR248" s="393">
        <f t="shared" si="95"/>
        <v>-100</v>
      </c>
      <c r="AS248" s="393" t="e">
        <f t="shared" si="96"/>
        <v>#DIV/0!</v>
      </c>
      <c r="AT248" s="393" t="e">
        <f t="shared" si="97"/>
        <v>#DIV/0!</v>
      </c>
      <c r="AU248" s="393" t="e">
        <f t="shared" si="98"/>
        <v>#DIV/0!</v>
      </c>
      <c r="AV248" s="393" t="e">
        <f t="shared" si="99"/>
        <v>#DIV/0!</v>
      </c>
      <c r="AW248" s="393" t="e">
        <f t="shared" si="100"/>
        <v>#DIV/0!</v>
      </c>
      <c r="AX248" s="393" t="e">
        <f t="shared" si="101"/>
        <v>#DIV/0!</v>
      </c>
      <c r="AY248" s="393" t="e">
        <f t="shared" si="102"/>
        <v>#DIV/0!</v>
      </c>
      <c r="AZ248" s="393" t="e">
        <f t="shared" si="103"/>
        <v>#DIV/0!</v>
      </c>
      <c r="BA248" s="393" t="e">
        <f t="shared" si="104"/>
        <v>#DIV/0!</v>
      </c>
      <c r="BB248" s="393" t="e">
        <f t="shared" si="105"/>
        <v>#DIV/0!</v>
      </c>
    </row>
    <row r="249" spans="1:54" x14ac:dyDescent="0.25">
      <c r="A249" s="355" t="s">
        <v>3692</v>
      </c>
      <c r="B249" s="480"/>
      <c r="C249" s="480"/>
      <c r="D249" s="480"/>
      <c r="E249" s="480"/>
      <c r="F249" s="480"/>
      <c r="G249" s="480"/>
      <c r="H249" s="480"/>
      <c r="I249" s="480">
        <f>850/1200</f>
        <v>0.70830000000000004</v>
      </c>
      <c r="J249" s="480"/>
      <c r="K249" s="480"/>
      <c r="L249" s="480"/>
      <c r="M249" s="480"/>
      <c r="N249" s="480"/>
      <c r="O249" s="480"/>
      <c r="P249" s="480"/>
      <c r="Q249" s="480"/>
      <c r="R249" s="480"/>
      <c r="S249" s="480"/>
      <c r="T249" s="480"/>
      <c r="U249" s="480"/>
      <c r="V249" s="480"/>
      <c r="W249" s="480"/>
      <c r="X249" s="480"/>
      <c r="Y249" s="480"/>
      <c r="Z249" s="480"/>
      <c r="AA249" s="480"/>
      <c r="AB249" s="480"/>
      <c r="AC249" s="393" t="e">
        <f t="shared" si="80"/>
        <v>#DIV/0!</v>
      </c>
      <c r="AD249" s="393" t="e">
        <f t="shared" si="81"/>
        <v>#DIV/0!</v>
      </c>
      <c r="AE249" s="393" t="e">
        <f t="shared" si="82"/>
        <v>#DIV/0!</v>
      </c>
      <c r="AF249" s="393" t="e">
        <f t="shared" si="83"/>
        <v>#DIV/0!</v>
      </c>
      <c r="AG249" s="393" t="e">
        <f t="shared" si="84"/>
        <v>#DIV/0!</v>
      </c>
      <c r="AH249" s="393" t="e">
        <f t="shared" si="85"/>
        <v>#DIV/0!</v>
      </c>
      <c r="AI249" s="393" t="e">
        <f t="shared" si="86"/>
        <v>#DIV/0!</v>
      </c>
      <c r="AJ249" s="393">
        <f t="shared" si="87"/>
        <v>-100</v>
      </c>
      <c r="AK249" s="393" t="e">
        <f t="shared" si="88"/>
        <v>#DIV/0!</v>
      </c>
      <c r="AL249" s="393" t="e">
        <f t="shared" si="89"/>
        <v>#DIV/0!</v>
      </c>
      <c r="AM249" s="393" t="e">
        <f t="shared" si="90"/>
        <v>#DIV/0!</v>
      </c>
      <c r="AN249" s="393" t="e">
        <f t="shared" si="91"/>
        <v>#DIV/0!</v>
      </c>
      <c r="AO249" s="393" t="e">
        <f t="shared" si="92"/>
        <v>#DIV/0!</v>
      </c>
      <c r="AP249" s="393" t="e">
        <f t="shared" si="93"/>
        <v>#DIV/0!</v>
      </c>
      <c r="AQ249" s="393" t="e">
        <f t="shared" si="94"/>
        <v>#DIV/0!</v>
      </c>
      <c r="AR249" s="393" t="e">
        <f t="shared" si="95"/>
        <v>#DIV/0!</v>
      </c>
      <c r="AS249" s="393" t="e">
        <f t="shared" si="96"/>
        <v>#DIV/0!</v>
      </c>
      <c r="AT249" s="393" t="e">
        <f t="shared" si="97"/>
        <v>#DIV/0!</v>
      </c>
      <c r="AU249" s="393" t="e">
        <f t="shared" si="98"/>
        <v>#DIV/0!</v>
      </c>
      <c r="AV249" s="393" t="e">
        <f t="shared" si="99"/>
        <v>#DIV/0!</v>
      </c>
      <c r="AW249" s="393" t="e">
        <f t="shared" si="100"/>
        <v>#DIV/0!</v>
      </c>
      <c r="AX249" s="393" t="e">
        <f t="shared" si="101"/>
        <v>#DIV/0!</v>
      </c>
      <c r="AY249" s="393" t="e">
        <f t="shared" si="102"/>
        <v>#DIV/0!</v>
      </c>
      <c r="AZ249" s="393" t="e">
        <f t="shared" si="103"/>
        <v>#DIV/0!</v>
      </c>
      <c r="BA249" s="393" t="e">
        <f t="shared" si="104"/>
        <v>#DIV/0!</v>
      </c>
      <c r="BB249" s="393" t="e">
        <f t="shared" si="105"/>
        <v>#DIV/0!</v>
      </c>
    </row>
    <row r="250" spans="1:54" x14ac:dyDescent="0.25">
      <c r="A250" s="361" t="s">
        <v>4010</v>
      </c>
      <c r="B250" s="480"/>
      <c r="C250" s="480"/>
      <c r="D250" s="480"/>
      <c r="E250" s="480"/>
      <c r="F250" s="480"/>
      <c r="G250" s="480"/>
      <c r="H250" s="480"/>
      <c r="I250" s="480"/>
      <c r="J250" s="480"/>
      <c r="K250" s="480"/>
      <c r="L250" s="480"/>
      <c r="M250" s="480"/>
      <c r="N250" s="480"/>
      <c r="O250" s="480"/>
      <c r="P250" s="480"/>
      <c r="Q250" s="480"/>
      <c r="R250" s="480"/>
      <c r="S250" s="480"/>
      <c r="T250" s="480">
        <f>806/1200</f>
        <v>0.67169999999999996</v>
      </c>
      <c r="U250" s="480"/>
      <c r="V250" s="480"/>
      <c r="W250" s="480"/>
      <c r="X250" s="480"/>
      <c r="Y250" s="480"/>
      <c r="Z250" s="480"/>
      <c r="AA250" s="480"/>
      <c r="AB250" s="480"/>
      <c r="AC250" s="393" t="e">
        <f t="shared" si="80"/>
        <v>#DIV/0!</v>
      </c>
      <c r="AD250" s="393" t="e">
        <f t="shared" si="81"/>
        <v>#DIV/0!</v>
      </c>
      <c r="AE250" s="393" t="e">
        <f t="shared" si="82"/>
        <v>#DIV/0!</v>
      </c>
      <c r="AF250" s="393" t="e">
        <f t="shared" si="83"/>
        <v>#DIV/0!</v>
      </c>
      <c r="AG250" s="393" t="e">
        <f t="shared" si="84"/>
        <v>#DIV/0!</v>
      </c>
      <c r="AH250" s="393" t="e">
        <f t="shared" si="85"/>
        <v>#DIV/0!</v>
      </c>
      <c r="AI250" s="393" t="e">
        <f t="shared" si="86"/>
        <v>#DIV/0!</v>
      </c>
      <c r="AJ250" s="393" t="e">
        <f t="shared" si="87"/>
        <v>#DIV/0!</v>
      </c>
      <c r="AK250" s="393" t="e">
        <f t="shared" si="88"/>
        <v>#DIV/0!</v>
      </c>
      <c r="AL250" s="393" t="e">
        <f t="shared" si="89"/>
        <v>#DIV/0!</v>
      </c>
      <c r="AM250" s="393" t="e">
        <f t="shared" si="90"/>
        <v>#DIV/0!</v>
      </c>
      <c r="AN250" s="393" t="e">
        <f t="shared" si="91"/>
        <v>#DIV/0!</v>
      </c>
      <c r="AO250" s="393" t="e">
        <f t="shared" si="92"/>
        <v>#DIV/0!</v>
      </c>
      <c r="AP250" s="393" t="e">
        <f t="shared" si="93"/>
        <v>#DIV/0!</v>
      </c>
      <c r="AQ250" s="393" t="e">
        <f t="shared" si="94"/>
        <v>#DIV/0!</v>
      </c>
      <c r="AR250" s="393" t="e">
        <f t="shared" si="95"/>
        <v>#DIV/0!</v>
      </c>
      <c r="AS250" s="393" t="e">
        <f t="shared" si="96"/>
        <v>#DIV/0!</v>
      </c>
      <c r="AT250" s="393" t="e">
        <f t="shared" si="97"/>
        <v>#DIV/0!</v>
      </c>
      <c r="AU250" s="393">
        <f t="shared" si="98"/>
        <v>-100</v>
      </c>
      <c r="AV250" s="393" t="e">
        <f t="shared" si="99"/>
        <v>#DIV/0!</v>
      </c>
      <c r="AW250" s="393" t="e">
        <f t="shared" si="100"/>
        <v>#DIV/0!</v>
      </c>
      <c r="AX250" s="393" t="e">
        <f t="shared" si="101"/>
        <v>#DIV/0!</v>
      </c>
      <c r="AY250" s="393" t="e">
        <f t="shared" si="102"/>
        <v>#DIV/0!</v>
      </c>
      <c r="AZ250" s="393" t="e">
        <f t="shared" si="103"/>
        <v>#DIV/0!</v>
      </c>
      <c r="BA250" s="393" t="e">
        <f t="shared" si="104"/>
        <v>#DIV/0!</v>
      </c>
      <c r="BB250" s="393" t="e">
        <f t="shared" si="105"/>
        <v>#DIV/0!</v>
      </c>
    </row>
    <row r="251" spans="1:54" x14ac:dyDescent="0.25">
      <c r="A251" s="361" t="s">
        <v>1567</v>
      </c>
      <c r="B251" s="480"/>
      <c r="C251" s="480"/>
      <c r="D251" s="480"/>
      <c r="E251" s="480"/>
      <c r="F251" s="480"/>
      <c r="G251" s="480"/>
      <c r="H251" s="480"/>
      <c r="I251" s="480"/>
      <c r="J251" s="480"/>
      <c r="K251" s="480"/>
      <c r="L251" s="480"/>
      <c r="M251" s="480"/>
      <c r="N251" s="480"/>
      <c r="O251" s="480"/>
      <c r="P251" s="480">
        <f>965/1800</f>
        <v>0.53610000000000002</v>
      </c>
      <c r="Q251" s="480"/>
      <c r="R251" s="480">
        <f>1001/1800</f>
        <v>0.55610000000000004</v>
      </c>
      <c r="S251" s="480">
        <f>1043/1800</f>
        <v>0.57940000000000003</v>
      </c>
      <c r="T251" s="480"/>
      <c r="U251" s="480"/>
      <c r="V251" s="480"/>
      <c r="W251" s="480"/>
      <c r="X251" s="480"/>
      <c r="Y251" s="480"/>
      <c r="Z251" s="480"/>
      <c r="AA251" s="480"/>
      <c r="AB251" s="480"/>
      <c r="AC251" s="393" t="e">
        <f t="shared" si="80"/>
        <v>#DIV/0!</v>
      </c>
      <c r="AD251" s="393" t="e">
        <f t="shared" si="81"/>
        <v>#DIV/0!</v>
      </c>
      <c r="AE251" s="393" t="e">
        <f t="shared" si="82"/>
        <v>#DIV/0!</v>
      </c>
      <c r="AF251" s="393" t="e">
        <f t="shared" si="83"/>
        <v>#DIV/0!</v>
      </c>
      <c r="AG251" s="393" t="e">
        <f t="shared" si="84"/>
        <v>#DIV/0!</v>
      </c>
      <c r="AH251" s="393" t="e">
        <f t="shared" si="85"/>
        <v>#DIV/0!</v>
      </c>
      <c r="AI251" s="393" t="e">
        <f t="shared" si="86"/>
        <v>#DIV/0!</v>
      </c>
      <c r="AJ251" s="393" t="e">
        <f t="shared" si="87"/>
        <v>#DIV/0!</v>
      </c>
      <c r="AK251" s="393" t="e">
        <f t="shared" si="88"/>
        <v>#DIV/0!</v>
      </c>
      <c r="AL251" s="393" t="e">
        <f t="shared" si="89"/>
        <v>#DIV/0!</v>
      </c>
      <c r="AM251" s="393" t="e">
        <f t="shared" si="90"/>
        <v>#DIV/0!</v>
      </c>
      <c r="AN251" s="393" t="e">
        <f t="shared" si="91"/>
        <v>#DIV/0!</v>
      </c>
      <c r="AO251" s="393" t="e">
        <f t="shared" si="92"/>
        <v>#DIV/0!</v>
      </c>
      <c r="AP251" s="393" t="e">
        <f t="shared" si="93"/>
        <v>#DIV/0!</v>
      </c>
      <c r="AQ251" s="393">
        <f t="shared" si="94"/>
        <v>-100</v>
      </c>
      <c r="AR251" s="393" t="e">
        <f t="shared" si="95"/>
        <v>#DIV/0!</v>
      </c>
      <c r="AS251" s="393">
        <f t="shared" si="96"/>
        <v>4.1900000000000004</v>
      </c>
      <c r="AT251" s="393">
        <f t="shared" si="97"/>
        <v>-100</v>
      </c>
      <c r="AU251" s="393" t="e">
        <f t="shared" si="98"/>
        <v>#DIV/0!</v>
      </c>
      <c r="AV251" s="393" t="e">
        <f t="shared" si="99"/>
        <v>#DIV/0!</v>
      </c>
      <c r="AW251" s="393" t="e">
        <f t="shared" si="100"/>
        <v>#DIV/0!</v>
      </c>
      <c r="AX251" s="393" t="e">
        <f t="shared" si="101"/>
        <v>#DIV/0!</v>
      </c>
      <c r="AY251" s="393" t="e">
        <f t="shared" si="102"/>
        <v>#DIV/0!</v>
      </c>
      <c r="AZ251" s="393" t="e">
        <f t="shared" si="103"/>
        <v>#DIV/0!</v>
      </c>
      <c r="BA251" s="393" t="e">
        <f t="shared" si="104"/>
        <v>#DIV/0!</v>
      </c>
      <c r="BB251" s="393" t="e">
        <f t="shared" si="105"/>
        <v>#DIV/0!</v>
      </c>
    </row>
    <row r="252" spans="1:54" x14ac:dyDescent="0.25">
      <c r="A252" s="361" t="s">
        <v>1580</v>
      </c>
      <c r="B252" s="480"/>
      <c r="C252" s="480"/>
      <c r="D252" s="480"/>
      <c r="E252" s="480"/>
      <c r="F252" s="480"/>
      <c r="G252" s="480"/>
      <c r="H252" s="480"/>
      <c r="I252" s="480"/>
      <c r="J252" s="480"/>
      <c r="K252" s="480"/>
      <c r="L252" s="480"/>
      <c r="M252" s="480"/>
      <c r="N252" s="480"/>
      <c r="O252" s="480"/>
      <c r="P252" s="480"/>
      <c r="Q252" s="480">
        <f>921/1800</f>
        <v>0.51170000000000004</v>
      </c>
      <c r="R252" s="480"/>
      <c r="S252" s="480"/>
      <c r="T252" s="480"/>
      <c r="U252" s="480"/>
      <c r="V252" s="480"/>
      <c r="W252" s="480"/>
      <c r="X252" s="480"/>
      <c r="Y252" s="480"/>
      <c r="Z252" s="480"/>
      <c r="AA252" s="480"/>
      <c r="AB252" s="480"/>
      <c r="AC252" s="393" t="e">
        <f t="shared" si="80"/>
        <v>#DIV/0!</v>
      </c>
      <c r="AD252" s="393" t="e">
        <f t="shared" si="81"/>
        <v>#DIV/0!</v>
      </c>
      <c r="AE252" s="393" t="e">
        <f t="shared" si="82"/>
        <v>#DIV/0!</v>
      </c>
      <c r="AF252" s="393" t="e">
        <f t="shared" si="83"/>
        <v>#DIV/0!</v>
      </c>
      <c r="AG252" s="393" t="e">
        <f t="shared" si="84"/>
        <v>#DIV/0!</v>
      </c>
      <c r="AH252" s="393" t="e">
        <f t="shared" si="85"/>
        <v>#DIV/0!</v>
      </c>
      <c r="AI252" s="393" t="e">
        <f t="shared" si="86"/>
        <v>#DIV/0!</v>
      </c>
      <c r="AJ252" s="393" t="e">
        <f t="shared" si="87"/>
        <v>#DIV/0!</v>
      </c>
      <c r="AK252" s="393" t="e">
        <f t="shared" si="88"/>
        <v>#DIV/0!</v>
      </c>
      <c r="AL252" s="393" t="e">
        <f t="shared" si="89"/>
        <v>#DIV/0!</v>
      </c>
      <c r="AM252" s="393" t="e">
        <f t="shared" si="90"/>
        <v>#DIV/0!</v>
      </c>
      <c r="AN252" s="393" t="e">
        <f t="shared" si="91"/>
        <v>#DIV/0!</v>
      </c>
      <c r="AO252" s="393" t="e">
        <f t="shared" si="92"/>
        <v>#DIV/0!</v>
      </c>
      <c r="AP252" s="393" t="e">
        <f t="shared" si="93"/>
        <v>#DIV/0!</v>
      </c>
      <c r="AQ252" s="393" t="e">
        <f t="shared" si="94"/>
        <v>#DIV/0!</v>
      </c>
      <c r="AR252" s="393">
        <f t="shared" si="95"/>
        <v>-100</v>
      </c>
      <c r="AS252" s="393" t="e">
        <f t="shared" si="96"/>
        <v>#DIV/0!</v>
      </c>
      <c r="AT252" s="393" t="e">
        <f t="shared" si="97"/>
        <v>#DIV/0!</v>
      </c>
      <c r="AU252" s="393" t="e">
        <f t="shared" si="98"/>
        <v>#DIV/0!</v>
      </c>
      <c r="AV252" s="393" t="e">
        <f t="shared" si="99"/>
        <v>#DIV/0!</v>
      </c>
      <c r="AW252" s="393" t="e">
        <f t="shared" si="100"/>
        <v>#DIV/0!</v>
      </c>
      <c r="AX252" s="393" t="e">
        <f t="shared" si="101"/>
        <v>#DIV/0!</v>
      </c>
      <c r="AY252" s="393" t="e">
        <f t="shared" si="102"/>
        <v>#DIV/0!</v>
      </c>
      <c r="AZ252" s="393" t="e">
        <f t="shared" si="103"/>
        <v>#DIV/0!</v>
      </c>
      <c r="BA252" s="393" t="e">
        <f t="shared" si="104"/>
        <v>#DIV/0!</v>
      </c>
      <c r="BB252" s="393" t="e">
        <f t="shared" si="105"/>
        <v>#DIV/0!</v>
      </c>
    </row>
    <row r="253" spans="1:54" x14ac:dyDescent="0.25">
      <c r="A253" s="360" t="s">
        <v>4330</v>
      </c>
      <c r="B253" s="480"/>
      <c r="C253" s="480"/>
      <c r="D253" s="480"/>
      <c r="E253" s="480"/>
      <c r="F253" s="480"/>
      <c r="G253" s="480"/>
      <c r="H253" s="480"/>
      <c r="I253" s="480"/>
      <c r="J253" s="480"/>
      <c r="K253" s="480"/>
      <c r="L253" s="480"/>
      <c r="M253" s="480"/>
      <c r="N253" s="480"/>
      <c r="O253" s="480"/>
      <c r="P253" s="480"/>
      <c r="Q253" s="480"/>
      <c r="R253" s="480"/>
      <c r="S253" s="480"/>
      <c r="T253" s="480"/>
      <c r="U253" s="480"/>
      <c r="V253" s="480"/>
      <c r="W253" s="480"/>
      <c r="X253" s="480"/>
      <c r="Y253" s="480">
        <f>1307/1800</f>
        <v>0.72609999999999997</v>
      </c>
      <c r="Z253" s="480"/>
      <c r="AA253" s="480"/>
      <c r="AB253" s="480"/>
      <c r="AC253" s="393" t="e">
        <f t="shared" si="80"/>
        <v>#DIV/0!</v>
      </c>
      <c r="AD253" s="393" t="e">
        <f t="shared" si="81"/>
        <v>#DIV/0!</v>
      </c>
      <c r="AE253" s="393" t="e">
        <f t="shared" si="82"/>
        <v>#DIV/0!</v>
      </c>
      <c r="AF253" s="393" t="e">
        <f t="shared" si="83"/>
        <v>#DIV/0!</v>
      </c>
      <c r="AG253" s="393" t="e">
        <f t="shared" si="84"/>
        <v>#DIV/0!</v>
      </c>
      <c r="AH253" s="393" t="e">
        <f t="shared" si="85"/>
        <v>#DIV/0!</v>
      </c>
      <c r="AI253" s="393" t="e">
        <f t="shared" si="86"/>
        <v>#DIV/0!</v>
      </c>
      <c r="AJ253" s="393" t="e">
        <f t="shared" si="87"/>
        <v>#DIV/0!</v>
      </c>
      <c r="AK253" s="393" t="e">
        <f t="shared" si="88"/>
        <v>#DIV/0!</v>
      </c>
      <c r="AL253" s="393" t="e">
        <f t="shared" si="89"/>
        <v>#DIV/0!</v>
      </c>
      <c r="AM253" s="393" t="e">
        <f t="shared" si="90"/>
        <v>#DIV/0!</v>
      </c>
      <c r="AN253" s="393" t="e">
        <f t="shared" si="91"/>
        <v>#DIV/0!</v>
      </c>
      <c r="AO253" s="393" t="e">
        <f t="shared" si="92"/>
        <v>#DIV/0!</v>
      </c>
      <c r="AP253" s="393" t="e">
        <f t="shared" si="93"/>
        <v>#DIV/0!</v>
      </c>
      <c r="AQ253" s="393" t="e">
        <f t="shared" si="94"/>
        <v>#DIV/0!</v>
      </c>
      <c r="AR253" s="393" t="e">
        <f t="shared" si="95"/>
        <v>#DIV/0!</v>
      </c>
      <c r="AS253" s="393" t="e">
        <f t="shared" si="96"/>
        <v>#DIV/0!</v>
      </c>
      <c r="AT253" s="393" t="e">
        <f t="shared" si="97"/>
        <v>#DIV/0!</v>
      </c>
      <c r="AU253" s="393" t="e">
        <f t="shared" si="98"/>
        <v>#DIV/0!</v>
      </c>
      <c r="AV253" s="393" t="e">
        <f t="shared" si="99"/>
        <v>#DIV/0!</v>
      </c>
      <c r="AW253" s="393" t="e">
        <f t="shared" si="100"/>
        <v>#DIV/0!</v>
      </c>
      <c r="AX253" s="393" t="e">
        <f t="shared" si="101"/>
        <v>#DIV/0!</v>
      </c>
      <c r="AY253" s="393" t="e">
        <f t="shared" si="102"/>
        <v>#DIV/0!</v>
      </c>
      <c r="AZ253" s="393">
        <f t="shared" si="103"/>
        <v>-100</v>
      </c>
      <c r="BA253" s="393" t="e">
        <f t="shared" si="104"/>
        <v>#DIV/0!</v>
      </c>
      <c r="BB253" s="393" t="e">
        <f t="shared" si="105"/>
        <v>#DIV/0!</v>
      </c>
    </row>
    <row r="254" spans="1:54" x14ac:dyDescent="0.25">
      <c r="A254" s="361" t="s">
        <v>2348</v>
      </c>
      <c r="B254" s="480"/>
      <c r="C254" s="480"/>
      <c r="D254" s="480"/>
      <c r="E254" s="480"/>
      <c r="F254" s="480">
        <f>681/1200</f>
        <v>0.5675</v>
      </c>
      <c r="G254" s="480">
        <f>1454/2400</f>
        <v>0.60580000000000001</v>
      </c>
      <c r="H254" s="480">
        <f>676/1200</f>
        <v>0.56330000000000002</v>
      </c>
      <c r="I254" s="480"/>
      <c r="J254" s="480"/>
      <c r="K254" s="480"/>
      <c r="L254" s="480"/>
      <c r="M254" s="480">
        <f>734/1200</f>
        <v>0.61170000000000002</v>
      </c>
      <c r="N254" s="480"/>
      <c r="O254" s="480"/>
      <c r="P254" s="480"/>
      <c r="Q254" s="480"/>
      <c r="R254" s="480"/>
      <c r="S254" s="480"/>
      <c r="T254" s="480"/>
      <c r="U254" s="480"/>
      <c r="V254" s="480"/>
      <c r="W254" s="480"/>
      <c r="X254" s="480"/>
      <c r="Y254" s="480"/>
      <c r="Z254" s="480"/>
      <c r="AA254" s="480"/>
      <c r="AB254" s="480"/>
      <c r="AC254" s="393" t="e">
        <f t="shared" si="80"/>
        <v>#DIV/0!</v>
      </c>
      <c r="AD254" s="393" t="e">
        <f t="shared" si="81"/>
        <v>#DIV/0!</v>
      </c>
      <c r="AE254" s="393" t="e">
        <f t="shared" si="82"/>
        <v>#DIV/0!</v>
      </c>
      <c r="AF254" s="393" t="e">
        <f t="shared" si="83"/>
        <v>#DIV/0!</v>
      </c>
      <c r="AG254" s="393">
        <f t="shared" si="84"/>
        <v>6.7489999999999997</v>
      </c>
      <c r="AH254" s="393">
        <f t="shared" si="85"/>
        <v>-7.016</v>
      </c>
      <c r="AI254" s="393">
        <f t="shared" si="86"/>
        <v>-100</v>
      </c>
      <c r="AJ254" s="393" t="e">
        <f t="shared" si="87"/>
        <v>#DIV/0!</v>
      </c>
      <c r="AK254" s="393" t="e">
        <f t="shared" si="88"/>
        <v>#DIV/0!</v>
      </c>
      <c r="AL254" s="393" t="e">
        <f t="shared" si="89"/>
        <v>#DIV/0!</v>
      </c>
      <c r="AM254" s="393" t="e">
        <f t="shared" si="90"/>
        <v>#DIV/0!</v>
      </c>
      <c r="AN254" s="393">
        <f t="shared" si="91"/>
        <v>-100</v>
      </c>
      <c r="AO254" s="393" t="e">
        <f t="shared" si="92"/>
        <v>#DIV/0!</v>
      </c>
      <c r="AP254" s="393" t="e">
        <f t="shared" si="93"/>
        <v>#DIV/0!</v>
      </c>
      <c r="AQ254" s="393" t="e">
        <f t="shared" si="94"/>
        <v>#DIV/0!</v>
      </c>
      <c r="AR254" s="393" t="e">
        <f t="shared" si="95"/>
        <v>#DIV/0!</v>
      </c>
      <c r="AS254" s="393" t="e">
        <f t="shared" si="96"/>
        <v>#DIV/0!</v>
      </c>
      <c r="AT254" s="393" t="e">
        <f t="shared" si="97"/>
        <v>#DIV/0!</v>
      </c>
      <c r="AU254" s="393" t="e">
        <f t="shared" si="98"/>
        <v>#DIV/0!</v>
      </c>
      <c r="AV254" s="393" t="e">
        <f t="shared" si="99"/>
        <v>#DIV/0!</v>
      </c>
      <c r="AW254" s="393" t="e">
        <f t="shared" si="100"/>
        <v>#DIV/0!</v>
      </c>
      <c r="AX254" s="393" t="e">
        <f t="shared" si="101"/>
        <v>#DIV/0!</v>
      </c>
      <c r="AY254" s="393" t="e">
        <f t="shared" si="102"/>
        <v>#DIV/0!</v>
      </c>
      <c r="AZ254" s="393" t="e">
        <f t="shared" si="103"/>
        <v>#DIV/0!</v>
      </c>
      <c r="BA254" s="393" t="e">
        <f t="shared" si="104"/>
        <v>#DIV/0!</v>
      </c>
      <c r="BB254" s="393" t="e">
        <f t="shared" si="105"/>
        <v>#DIV/0!</v>
      </c>
    </row>
    <row r="255" spans="1:54" x14ac:dyDescent="0.25">
      <c r="A255" s="360" t="s">
        <v>774</v>
      </c>
      <c r="B255" s="480"/>
      <c r="C255" s="480"/>
      <c r="D255" s="480">
        <f>950/1800</f>
        <v>0.52780000000000005</v>
      </c>
      <c r="E255" s="480"/>
      <c r="F255" s="480"/>
      <c r="G255" s="480"/>
      <c r="H255" s="480"/>
      <c r="I255" s="480"/>
      <c r="J255" s="480"/>
      <c r="K255" s="480"/>
      <c r="L255" s="480"/>
      <c r="M255" s="480"/>
      <c r="N255" s="480"/>
      <c r="O255" s="480"/>
      <c r="P255" s="480"/>
      <c r="Q255" s="480"/>
      <c r="R255" s="480"/>
      <c r="S255" s="480"/>
      <c r="T255" s="480"/>
      <c r="U255" s="480"/>
      <c r="V255" s="480"/>
      <c r="W255" s="480"/>
      <c r="X255" s="480"/>
      <c r="Y255" s="480"/>
      <c r="Z255" s="480"/>
      <c r="AA255" s="480"/>
      <c r="AB255" s="480"/>
      <c r="AC255" s="393" t="e">
        <f t="shared" si="80"/>
        <v>#DIV/0!</v>
      </c>
      <c r="AD255" s="393" t="e">
        <f t="shared" si="81"/>
        <v>#DIV/0!</v>
      </c>
      <c r="AE255" s="393">
        <f t="shared" si="82"/>
        <v>-100</v>
      </c>
      <c r="AF255" s="393" t="e">
        <f t="shared" si="83"/>
        <v>#DIV/0!</v>
      </c>
      <c r="AG255" s="393" t="e">
        <f t="shared" si="84"/>
        <v>#DIV/0!</v>
      </c>
      <c r="AH255" s="393" t="e">
        <f t="shared" si="85"/>
        <v>#DIV/0!</v>
      </c>
      <c r="AI255" s="393" t="e">
        <f t="shared" si="86"/>
        <v>#DIV/0!</v>
      </c>
      <c r="AJ255" s="393" t="e">
        <f t="shared" si="87"/>
        <v>#DIV/0!</v>
      </c>
      <c r="AK255" s="393" t="e">
        <f t="shared" si="88"/>
        <v>#DIV/0!</v>
      </c>
      <c r="AL255" s="393" t="e">
        <f t="shared" si="89"/>
        <v>#DIV/0!</v>
      </c>
      <c r="AM255" s="393" t="e">
        <f t="shared" si="90"/>
        <v>#DIV/0!</v>
      </c>
      <c r="AN255" s="393" t="e">
        <f t="shared" si="91"/>
        <v>#DIV/0!</v>
      </c>
      <c r="AO255" s="393" t="e">
        <f t="shared" si="92"/>
        <v>#DIV/0!</v>
      </c>
      <c r="AP255" s="393" t="e">
        <f t="shared" si="93"/>
        <v>#DIV/0!</v>
      </c>
      <c r="AQ255" s="393" t="e">
        <f t="shared" si="94"/>
        <v>#DIV/0!</v>
      </c>
      <c r="AR255" s="393" t="e">
        <f t="shared" si="95"/>
        <v>#DIV/0!</v>
      </c>
      <c r="AS255" s="393" t="e">
        <f t="shared" si="96"/>
        <v>#DIV/0!</v>
      </c>
      <c r="AT255" s="393" t="e">
        <f t="shared" si="97"/>
        <v>#DIV/0!</v>
      </c>
      <c r="AU255" s="393" t="e">
        <f t="shared" si="98"/>
        <v>#DIV/0!</v>
      </c>
      <c r="AV255" s="393" t="e">
        <f t="shared" si="99"/>
        <v>#DIV/0!</v>
      </c>
      <c r="AW255" s="393" t="e">
        <f t="shared" si="100"/>
        <v>#DIV/0!</v>
      </c>
      <c r="AX255" s="393" t="e">
        <f t="shared" si="101"/>
        <v>#DIV/0!</v>
      </c>
      <c r="AY255" s="393" t="e">
        <f t="shared" si="102"/>
        <v>#DIV/0!</v>
      </c>
      <c r="AZ255" s="393" t="e">
        <f t="shared" si="103"/>
        <v>#DIV/0!</v>
      </c>
      <c r="BA255" s="393" t="e">
        <f t="shared" si="104"/>
        <v>#DIV/0!</v>
      </c>
      <c r="BB255" s="393" t="e">
        <f t="shared" si="105"/>
        <v>#DIV/0!</v>
      </c>
    </row>
    <row r="256" spans="1:54" x14ac:dyDescent="0.25">
      <c r="A256" s="360" t="s">
        <v>4833</v>
      </c>
      <c r="B256" s="480"/>
      <c r="C256" s="480"/>
      <c r="D256" s="480"/>
      <c r="E256" s="480"/>
      <c r="F256" s="480"/>
      <c r="G256" s="480"/>
      <c r="H256" s="480"/>
      <c r="I256" s="480"/>
      <c r="J256" s="480"/>
      <c r="K256" s="480"/>
      <c r="L256" s="480"/>
      <c r="M256" s="480"/>
      <c r="N256" s="480"/>
      <c r="O256" s="480"/>
      <c r="P256" s="480"/>
      <c r="Q256" s="480"/>
      <c r="R256" s="480"/>
      <c r="S256" s="480"/>
      <c r="T256" s="480"/>
      <c r="U256" s="480"/>
      <c r="V256" s="480"/>
      <c r="W256" s="480"/>
      <c r="X256" s="480"/>
      <c r="Y256" s="480"/>
      <c r="Z256" s="480"/>
      <c r="AA256" s="480"/>
      <c r="AB256" s="480">
        <v>0.63300000000000001</v>
      </c>
      <c r="AC256" s="393" t="e">
        <f t="shared" si="80"/>
        <v>#DIV/0!</v>
      </c>
      <c r="AD256" s="393" t="e">
        <f t="shared" si="81"/>
        <v>#DIV/0!</v>
      </c>
      <c r="AE256" s="393" t="e">
        <f t="shared" si="82"/>
        <v>#DIV/0!</v>
      </c>
      <c r="AF256" s="393" t="e">
        <f t="shared" si="83"/>
        <v>#DIV/0!</v>
      </c>
      <c r="AG256" s="393" t="e">
        <f t="shared" si="84"/>
        <v>#DIV/0!</v>
      </c>
      <c r="AH256" s="393" t="e">
        <f t="shared" si="85"/>
        <v>#DIV/0!</v>
      </c>
      <c r="AI256" s="393" t="e">
        <f t="shared" si="86"/>
        <v>#DIV/0!</v>
      </c>
      <c r="AJ256" s="393" t="e">
        <f t="shared" si="87"/>
        <v>#DIV/0!</v>
      </c>
      <c r="AK256" s="393" t="e">
        <f t="shared" si="88"/>
        <v>#DIV/0!</v>
      </c>
      <c r="AL256" s="393" t="e">
        <f t="shared" si="89"/>
        <v>#DIV/0!</v>
      </c>
      <c r="AM256" s="393" t="e">
        <f t="shared" si="90"/>
        <v>#DIV/0!</v>
      </c>
      <c r="AN256" s="393" t="e">
        <f t="shared" si="91"/>
        <v>#DIV/0!</v>
      </c>
      <c r="AO256" s="393" t="e">
        <f t="shared" si="92"/>
        <v>#DIV/0!</v>
      </c>
      <c r="AP256" s="393" t="e">
        <f t="shared" si="93"/>
        <v>#DIV/0!</v>
      </c>
      <c r="AQ256" s="393" t="e">
        <f t="shared" si="94"/>
        <v>#DIV/0!</v>
      </c>
      <c r="AR256" s="393" t="e">
        <f t="shared" si="95"/>
        <v>#DIV/0!</v>
      </c>
      <c r="AS256" s="393" t="e">
        <f t="shared" si="96"/>
        <v>#DIV/0!</v>
      </c>
      <c r="AT256" s="393" t="e">
        <f t="shared" si="97"/>
        <v>#DIV/0!</v>
      </c>
      <c r="AU256" s="393" t="e">
        <f t="shared" si="98"/>
        <v>#DIV/0!</v>
      </c>
      <c r="AV256" s="393" t="e">
        <f t="shared" si="99"/>
        <v>#DIV/0!</v>
      </c>
      <c r="AW256" s="393" t="e">
        <f t="shared" si="100"/>
        <v>#DIV/0!</v>
      </c>
      <c r="AX256" s="393" t="e">
        <f t="shared" si="101"/>
        <v>#DIV/0!</v>
      </c>
      <c r="AY256" s="393" t="e">
        <f t="shared" si="102"/>
        <v>#DIV/0!</v>
      </c>
      <c r="AZ256" s="393" t="e">
        <f t="shared" si="103"/>
        <v>#DIV/0!</v>
      </c>
      <c r="BA256" s="393" t="e">
        <f t="shared" si="104"/>
        <v>#DIV/0!</v>
      </c>
      <c r="BB256" s="393" t="e">
        <f t="shared" si="105"/>
        <v>#DIV/0!</v>
      </c>
    </row>
    <row r="257" spans="1:54" x14ac:dyDescent="0.25">
      <c r="A257" s="360" t="s">
        <v>3428</v>
      </c>
      <c r="B257" s="480"/>
      <c r="C257" s="480"/>
      <c r="D257" s="480"/>
      <c r="E257" s="480"/>
      <c r="F257" s="480"/>
      <c r="G257" s="480">
        <f>975/2400</f>
        <v>0.40629999999999999</v>
      </c>
      <c r="H257" s="480"/>
      <c r="I257" s="480"/>
      <c r="J257" s="480"/>
      <c r="K257" s="480"/>
      <c r="L257" s="480"/>
      <c r="M257" s="480"/>
      <c r="N257" s="480"/>
      <c r="O257" s="480"/>
      <c r="P257" s="480"/>
      <c r="Q257" s="480"/>
      <c r="R257" s="480"/>
      <c r="S257" s="480"/>
      <c r="T257" s="480"/>
      <c r="U257" s="480"/>
      <c r="V257" s="480"/>
      <c r="W257" s="480"/>
      <c r="X257" s="480"/>
      <c r="Y257" s="480"/>
      <c r="Z257" s="480"/>
      <c r="AA257" s="480"/>
      <c r="AB257" s="480"/>
      <c r="AC257" s="393" t="e">
        <f t="shared" si="80"/>
        <v>#DIV/0!</v>
      </c>
      <c r="AD257" s="393" t="e">
        <f t="shared" si="81"/>
        <v>#DIV/0!</v>
      </c>
      <c r="AE257" s="393" t="e">
        <f t="shared" si="82"/>
        <v>#DIV/0!</v>
      </c>
      <c r="AF257" s="393" t="e">
        <f t="shared" si="83"/>
        <v>#DIV/0!</v>
      </c>
      <c r="AG257" s="393" t="e">
        <f t="shared" si="84"/>
        <v>#DIV/0!</v>
      </c>
      <c r="AH257" s="393">
        <f t="shared" si="85"/>
        <v>-100</v>
      </c>
      <c r="AI257" s="393" t="e">
        <f t="shared" si="86"/>
        <v>#DIV/0!</v>
      </c>
      <c r="AJ257" s="393" t="e">
        <f t="shared" si="87"/>
        <v>#DIV/0!</v>
      </c>
      <c r="AK257" s="393" t="e">
        <f t="shared" si="88"/>
        <v>#DIV/0!</v>
      </c>
      <c r="AL257" s="393" t="e">
        <f t="shared" si="89"/>
        <v>#DIV/0!</v>
      </c>
      <c r="AM257" s="393" t="e">
        <f t="shared" si="90"/>
        <v>#DIV/0!</v>
      </c>
      <c r="AN257" s="393" t="e">
        <f t="shared" si="91"/>
        <v>#DIV/0!</v>
      </c>
      <c r="AO257" s="393" t="e">
        <f t="shared" si="92"/>
        <v>#DIV/0!</v>
      </c>
      <c r="AP257" s="393" t="e">
        <f t="shared" si="93"/>
        <v>#DIV/0!</v>
      </c>
      <c r="AQ257" s="393" t="e">
        <f t="shared" si="94"/>
        <v>#DIV/0!</v>
      </c>
      <c r="AR257" s="393" t="e">
        <f t="shared" si="95"/>
        <v>#DIV/0!</v>
      </c>
      <c r="AS257" s="393" t="e">
        <f t="shared" si="96"/>
        <v>#DIV/0!</v>
      </c>
      <c r="AT257" s="393" t="e">
        <f t="shared" si="97"/>
        <v>#DIV/0!</v>
      </c>
      <c r="AU257" s="393" t="e">
        <f t="shared" si="98"/>
        <v>#DIV/0!</v>
      </c>
      <c r="AV257" s="393" t="e">
        <f t="shared" si="99"/>
        <v>#DIV/0!</v>
      </c>
      <c r="AW257" s="393" t="e">
        <f t="shared" si="100"/>
        <v>#DIV/0!</v>
      </c>
      <c r="AX257" s="393" t="e">
        <f t="shared" si="101"/>
        <v>#DIV/0!</v>
      </c>
      <c r="AY257" s="393" t="e">
        <f t="shared" si="102"/>
        <v>#DIV/0!</v>
      </c>
      <c r="AZ257" s="393" t="e">
        <f t="shared" si="103"/>
        <v>#DIV/0!</v>
      </c>
      <c r="BA257" s="393" t="e">
        <f t="shared" si="104"/>
        <v>#DIV/0!</v>
      </c>
      <c r="BB257" s="393" t="e">
        <f t="shared" si="105"/>
        <v>#DIV/0!</v>
      </c>
    </row>
    <row r="258" spans="1:54" x14ac:dyDescent="0.25">
      <c r="A258" s="361" t="s">
        <v>3598</v>
      </c>
      <c r="B258" s="480"/>
      <c r="C258" s="480"/>
      <c r="D258" s="480"/>
      <c r="E258" s="480"/>
      <c r="F258" s="480"/>
      <c r="G258" s="480"/>
      <c r="H258" s="480"/>
      <c r="I258" s="480"/>
      <c r="J258" s="480"/>
      <c r="K258" s="480"/>
      <c r="L258" s="480"/>
      <c r="M258" s="480"/>
      <c r="N258" s="480"/>
      <c r="O258" s="480"/>
      <c r="P258" s="480">
        <f>1260/1800</f>
        <v>0.7</v>
      </c>
      <c r="Q258" s="480"/>
      <c r="R258" s="480"/>
      <c r="S258" s="480"/>
      <c r="T258" s="480"/>
      <c r="U258" s="480"/>
      <c r="V258" s="480"/>
      <c r="W258" s="480"/>
      <c r="X258" s="480"/>
      <c r="Y258" s="480"/>
      <c r="Z258" s="480"/>
      <c r="AA258" s="480"/>
      <c r="AB258" s="480"/>
      <c r="AC258" s="393" t="e">
        <f t="shared" si="80"/>
        <v>#DIV/0!</v>
      </c>
      <c r="AD258" s="393" t="e">
        <f t="shared" si="81"/>
        <v>#DIV/0!</v>
      </c>
      <c r="AE258" s="393" t="e">
        <f t="shared" si="82"/>
        <v>#DIV/0!</v>
      </c>
      <c r="AF258" s="393" t="e">
        <f t="shared" si="83"/>
        <v>#DIV/0!</v>
      </c>
      <c r="AG258" s="393" t="e">
        <f t="shared" si="84"/>
        <v>#DIV/0!</v>
      </c>
      <c r="AH258" s="393" t="e">
        <f t="shared" si="85"/>
        <v>#DIV/0!</v>
      </c>
      <c r="AI258" s="393" t="e">
        <f t="shared" si="86"/>
        <v>#DIV/0!</v>
      </c>
      <c r="AJ258" s="393" t="e">
        <f t="shared" si="87"/>
        <v>#DIV/0!</v>
      </c>
      <c r="AK258" s="393" t="e">
        <f t="shared" si="88"/>
        <v>#DIV/0!</v>
      </c>
      <c r="AL258" s="393" t="e">
        <f t="shared" si="89"/>
        <v>#DIV/0!</v>
      </c>
      <c r="AM258" s="393" t="e">
        <f t="shared" si="90"/>
        <v>#DIV/0!</v>
      </c>
      <c r="AN258" s="393" t="e">
        <f t="shared" si="91"/>
        <v>#DIV/0!</v>
      </c>
      <c r="AO258" s="393" t="e">
        <f t="shared" si="92"/>
        <v>#DIV/0!</v>
      </c>
      <c r="AP258" s="393" t="e">
        <f t="shared" si="93"/>
        <v>#DIV/0!</v>
      </c>
      <c r="AQ258" s="393">
        <f t="shared" si="94"/>
        <v>-100</v>
      </c>
      <c r="AR258" s="393" t="e">
        <f t="shared" si="95"/>
        <v>#DIV/0!</v>
      </c>
      <c r="AS258" s="393" t="e">
        <f t="shared" si="96"/>
        <v>#DIV/0!</v>
      </c>
      <c r="AT258" s="393" t="e">
        <f t="shared" si="97"/>
        <v>#DIV/0!</v>
      </c>
      <c r="AU258" s="393" t="e">
        <f t="shared" si="98"/>
        <v>#DIV/0!</v>
      </c>
      <c r="AV258" s="393" t="e">
        <f t="shared" si="99"/>
        <v>#DIV/0!</v>
      </c>
      <c r="AW258" s="393" t="e">
        <f t="shared" si="100"/>
        <v>#DIV/0!</v>
      </c>
      <c r="AX258" s="393" t="e">
        <f t="shared" si="101"/>
        <v>#DIV/0!</v>
      </c>
      <c r="AY258" s="393" t="e">
        <f t="shared" si="102"/>
        <v>#DIV/0!</v>
      </c>
      <c r="AZ258" s="393" t="e">
        <f t="shared" si="103"/>
        <v>#DIV/0!</v>
      </c>
      <c r="BA258" s="393" t="e">
        <f t="shared" si="104"/>
        <v>#DIV/0!</v>
      </c>
      <c r="BB258" s="393" t="e">
        <f t="shared" si="105"/>
        <v>#DIV/0!</v>
      </c>
    </row>
    <row r="259" spans="1:54" x14ac:dyDescent="0.25">
      <c r="A259" s="360" t="s">
        <v>1322</v>
      </c>
      <c r="B259" s="480"/>
      <c r="C259" s="480"/>
      <c r="D259" s="480"/>
      <c r="E259" s="480">
        <f>984/1800</f>
        <v>0.54669999999999996</v>
      </c>
      <c r="F259" s="480"/>
      <c r="G259" s="480"/>
      <c r="H259" s="480"/>
      <c r="I259" s="480"/>
      <c r="J259" s="480"/>
      <c r="K259" s="480"/>
      <c r="L259" s="480"/>
      <c r="M259" s="480"/>
      <c r="N259" s="480"/>
      <c r="O259" s="480"/>
      <c r="P259" s="480"/>
      <c r="Q259" s="480"/>
      <c r="R259" s="480"/>
      <c r="S259" s="480"/>
      <c r="T259" s="480"/>
      <c r="U259" s="480"/>
      <c r="V259" s="480"/>
      <c r="W259" s="480"/>
      <c r="X259" s="480"/>
      <c r="Y259" s="480"/>
      <c r="Z259" s="480"/>
      <c r="AA259" s="480"/>
      <c r="AB259" s="480"/>
      <c r="AC259" s="393" t="e">
        <f t="shared" si="80"/>
        <v>#DIV/0!</v>
      </c>
      <c r="AD259" s="393" t="e">
        <f t="shared" si="81"/>
        <v>#DIV/0!</v>
      </c>
      <c r="AE259" s="393" t="e">
        <f t="shared" si="82"/>
        <v>#DIV/0!</v>
      </c>
      <c r="AF259" s="393">
        <f t="shared" si="83"/>
        <v>-100</v>
      </c>
      <c r="AG259" s="393" t="e">
        <f t="shared" si="84"/>
        <v>#DIV/0!</v>
      </c>
      <c r="AH259" s="393" t="e">
        <f t="shared" si="85"/>
        <v>#DIV/0!</v>
      </c>
      <c r="AI259" s="393" t="e">
        <f t="shared" si="86"/>
        <v>#DIV/0!</v>
      </c>
      <c r="AJ259" s="393" t="e">
        <f t="shared" si="87"/>
        <v>#DIV/0!</v>
      </c>
      <c r="AK259" s="393" t="e">
        <f t="shared" si="88"/>
        <v>#DIV/0!</v>
      </c>
      <c r="AL259" s="393" t="e">
        <f t="shared" si="89"/>
        <v>#DIV/0!</v>
      </c>
      <c r="AM259" s="393" t="e">
        <f t="shared" si="90"/>
        <v>#DIV/0!</v>
      </c>
      <c r="AN259" s="393" t="e">
        <f t="shared" si="91"/>
        <v>#DIV/0!</v>
      </c>
      <c r="AO259" s="393" t="e">
        <f t="shared" si="92"/>
        <v>#DIV/0!</v>
      </c>
      <c r="AP259" s="393" t="e">
        <f t="shared" si="93"/>
        <v>#DIV/0!</v>
      </c>
      <c r="AQ259" s="393" t="e">
        <f t="shared" si="94"/>
        <v>#DIV/0!</v>
      </c>
      <c r="AR259" s="393" t="e">
        <f t="shared" si="95"/>
        <v>#DIV/0!</v>
      </c>
      <c r="AS259" s="393" t="e">
        <f t="shared" si="96"/>
        <v>#DIV/0!</v>
      </c>
      <c r="AT259" s="393" t="e">
        <f t="shared" si="97"/>
        <v>#DIV/0!</v>
      </c>
      <c r="AU259" s="393" t="e">
        <f t="shared" si="98"/>
        <v>#DIV/0!</v>
      </c>
      <c r="AV259" s="393" t="e">
        <f t="shared" si="99"/>
        <v>#DIV/0!</v>
      </c>
      <c r="AW259" s="393" t="e">
        <f t="shared" si="100"/>
        <v>#DIV/0!</v>
      </c>
      <c r="AX259" s="393" t="e">
        <f t="shared" si="101"/>
        <v>#DIV/0!</v>
      </c>
      <c r="AY259" s="393" t="e">
        <f t="shared" si="102"/>
        <v>#DIV/0!</v>
      </c>
      <c r="AZ259" s="393" t="e">
        <f t="shared" si="103"/>
        <v>#DIV/0!</v>
      </c>
      <c r="BA259" s="393" t="e">
        <f t="shared" si="104"/>
        <v>#DIV/0!</v>
      </c>
      <c r="BB259" s="393" t="e">
        <f t="shared" si="105"/>
        <v>#DIV/0!</v>
      </c>
    </row>
    <row r="260" spans="1:54" x14ac:dyDescent="0.25">
      <c r="A260" s="361" t="s">
        <v>805</v>
      </c>
      <c r="B260" s="480">
        <f>1079/1800</f>
        <v>0.59940000000000004</v>
      </c>
      <c r="C260" s="480">
        <f>1081/1800</f>
        <v>0.60060000000000002</v>
      </c>
      <c r="D260" s="480">
        <f>1142/1800</f>
        <v>0.63439999999999996</v>
      </c>
      <c r="E260" s="480">
        <f>1096/1800</f>
        <v>0.6089</v>
      </c>
      <c r="F260" s="480"/>
      <c r="G260" s="480"/>
      <c r="H260" s="480"/>
      <c r="I260" s="480"/>
      <c r="J260" s="480"/>
      <c r="K260" s="480"/>
      <c r="L260" s="480"/>
      <c r="M260" s="480"/>
      <c r="N260" s="480"/>
      <c r="O260" s="480"/>
      <c r="P260" s="480"/>
      <c r="Q260" s="480"/>
      <c r="R260" s="480"/>
      <c r="S260" s="480"/>
      <c r="T260" s="480"/>
      <c r="U260" s="480"/>
      <c r="V260" s="480"/>
      <c r="W260" s="480"/>
      <c r="X260" s="480"/>
      <c r="Y260" s="480"/>
      <c r="Z260" s="480"/>
      <c r="AA260" s="480"/>
      <c r="AB260" s="480"/>
      <c r="AC260" s="393">
        <f t="shared" si="80"/>
        <v>0.2</v>
      </c>
      <c r="AD260" s="393">
        <f t="shared" si="81"/>
        <v>5.6280000000000001</v>
      </c>
      <c r="AE260" s="393">
        <f t="shared" si="82"/>
        <v>-4.0199999999999996</v>
      </c>
      <c r="AF260" s="393">
        <f t="shared" si="83"/>
        <v>-100</v>
      </c>
      <c r="AG260" s="393" t="e">
        <f t="shared" si="84"/>
        <v>#DIV/0!</v>
      </c>
      <c r="AH260" s="393" t="e">
        <f t="shared" si="85"/>
        <v>#DIV/0!</v>
      </c>
      <c r="AI260" s="393" t="e">
        <f t="shared" si="86"/>
        <v>#DIV/0!</v>
      </c>
      <c r="AJ260" s="393" t="e">
        <f t="shared" si="87"/>
        <v>#DIV/0!</v>
      </c>
      <c r="AK260" s="393" t="e">
        <f t="shared" si="88"/>
        <v>#DIV/0!</v>
      </c>
      <c r="AL260" s="393" t="e">
        <f t="shared" si="89"/>
        <v>#DIV/0!</v>
      </c>
      <c r="AM260" s="393" t="e">
        <f t="shared" si="90"/>
        <v>#DIV/0!</v>
      </c>
      <c r="AN260" s="393" t="e">
        <f t="shared" si="91"/>
        <v>#DIV/0!</v>
      </c>
      <c r="AO260" s="393" t="e">
        <f t="shared" si="92"/>
        <v>#DIV/0!</v>
      </c>
      <c r="AP260" s="393" t="e">
        <f t="shared" si="93"/>
        <v>#DIV/0!</v>
      </c>
      <c r="AQ260" s="393" t="e">
        <f t="shared" si="94"/>
        <v>#DIV/0!</v>
      </c>
      <c r="AR260" s="393" t="e">
        <f t="shared" si="95"/>
        <v>#DIV/0!</v>
      </c>
      <c r="AS260" s="393" t="e">
        <f t="shared" si="96"/>
        <v>#DIV/0!</v>
      </c>
      <c r="AT260" s="393" t="e">
        <f t="shared" si="97"/>
        <v>#DIV/0!</v>
      </c>
      <c r="AU260" s="393" t="e">
        <f t="shared" si="98"/>
        <v>#DIV/0!</v>
      </c>
      <c r="AV260" s="393" t="e">
        <f t="shared" si="99"/>
        <v>#DIV/0!</v>
      </c>
      <c r="AW260" s="393" t="e">
        <f t="shared" si="100"/>
        <v>#DIV/0!</v>
      </c>
      <c r="AX260" s="393" t="e">
        <f t="shared" si="101"/>
        <v>#DIV/0!</v>
      </c>
      <c r="AY260" s="393" t="e">
        <f t="shared" si="102"/>
        <v>#DIV/0!</v>
      </c>
      <c r="AZ260" s="393" t="e">
        <f t="shared" si="103"/>
        <v>#DIV/0!</v>
      </c>
      <c r="BA260" s="393" t="e">
        <f t="shared" si="104"/>
        <v>#DIV/0!</v>
      </c>
      <c r="BB260" s="393" t="e">
        <f t="shared" si="105"/>
        <v>#DIV/0!</v>
      </c>
    </row>
    <row r="261" spans="1:54" x14ac:dyDescent="0.25">
      <c r="A261" s="361" t="s">
        <v>1565</v>
      </c>
      <c r="B261" s="480"/>
      <c r="C261" s="480"/>
      <c r="D261" s="480"/>
      <c r="E261" s="480"/>
      <c r="F261" s="480"/>
      <c r="G261" s="480"/>
      <c r="H261" s="480"/>
      <c r="I261" s="480"/>
      <c r="J261" s="480"/>
      <c r="K261" s="480"/>
      <c r="L261" s="480"/>
      <c r="M261" s="480"/>
      <c r="N261" s="480"/>
      <c r="O261" s="480"/>
      <c r="P261" s="480">
        <f>1011/1800</f>
        <v>0.56169999999999998</v>
      </c>
      <c r="Q261" s="480"/>
      <c r="R261" s="480"/>
      <c r="S261" s="480"/>
      <c r="T261" s="480"/>
      <c r="U261" s="480"/>
      <c r="V261" s="480"/>
      <c r="W261" s="480"/>
      <c r="X261" s="480"/>
      <c r="Y261" s="480"/>
      <c r="Z261" s="480"/>
      <c r="AA261" s="480"/>
      <c r="AB261" s="480"/>
      <c r="AC261" s="393" t="e">
        <f t="shared" ref="AC261:AC324" si="106">(+C261-B261)/B261*100</f>
        <v>#DIV/0!</v>
      </c>
      <c r="AD261" s="393" t="e">
        <f t="shared" ref="AD261:AD324" si="107">(+D261-C261)/C261*100</f>
        <v>#DIV/0!</v>
      </c>
      <c r="AE261" s="393" t="e">
        <f t="shared" ref="AE261:AE324" si="108">(+E261-D261)/D261*100</f>
        <v>#DIV/0!</v>
      </c>
      <c r="AF261" s="393" t="e">
        <f t="shared" ref="AF261:AF324" si="109">(+F261-E261)/E261*100</f>
        <v>#DIV/0!</v>
      </c>
      <c r="AG261" s="393" t="e">
        <f t="shared" ref="AG261:AG324" si="110">(+G261-F261)/F261*100</f>
        <v>#DIV/0!</v>
      </c>
      <c r="AH261" s="393" t="e">
        <f t="shared" ref="AH261:AH324" si="111">(+H261-G261)/G261*100</f>
        <v>#DIV/0!</v>
      </c>
      <c r="AI261" s="393" t="e">
        <f t="shared" ref="AI261:AI324" si="112">(+I261-H261)/H261*100</f>
        <v>#DIV/0!</v>
      </c>
      <c r="AJ261" s="393" t="e">
        <f t="shared" ref="AJ261:AJ324" si="113">(+J261-I261)/I261*100</f>
        <v>#DIV/0!</v>
      </c>
      <c r="AK261" s="393" t="e">
        <f t="shared" ref="AK261:AK324" si="114">(+K261-J261)/J261*100</f>
        <v>#DIV/0!</v>
      </c>
      <c r="AL261" s="393" t="e">
        <f t="shared" ref="AL261:AL324" si="115">(+L261-K261)/K261*100</f>
        <v>#DIV/0!</v>
      </c>
      <c r="AM261" s="393" t="e">
        <f t="shared" ref="AM261:AM324" si="116">(+M261-L261)/L261*100</f>
        <v>#DIV/0!</v>
      </c>
      <c r="AN261" s="393" t="e">
        <f t="shared" ref="AN261:AN324" si="117">(+N261-M261)/M261*100</f>
        <v>#DIV/0!</v>
      </c>
      <c r="AO261" s="393" t="e">
        <f t="shared" ref="AO261:AO324" si="118">(+O261-N261)/N261*100</f>
        <v>#DIV/0!</v>
      </c>
      <c r="AP261" s="393" t="e">
        <f t="shared" ref="AP261:AP324" si="119">(+P261-O261)/O261*100</f>
        <v>#DIV/0!</v>
      </c>
      <c r="AQ261" s="393">
        <f t="shared" ref="AQ261:AQ324" si="120">(+Q261-P261)/P261*100</f>
        <v>-100</v>
      </c>
      <c r="AR261" s="393" t="e">
        <f t="shared" ref="AR261:AR324" si="121">(+R261-Q261)/Q261*100</f>
        <v>#DIV/0!</v>
      </c>
      <c r="AS261" s="393" t="e">
        <f t="shared" ref="AS261:AS324" si="122">(+S261-R261)/R261*100</f>
        <v>#DIV/0!</v>
      </c>
      <c r="AT261" s="393" t="e">
        <f t="shared" ref="AT261:AT324" si="123">(+T261-S261)/S261*100</f>
        <v>#DIV/0!</v>
      </c>
      <c r="AU261" s="393" t="e">
        <f t="shared" ref="AU261:AU324" si="124">(+U261-T261)/T261*100</f>
        <v>#DIV/0!</v>
      </c>
      <c r="AV261" s="393" t="e">
        <f t="shared" ref="AV261:AV324" si="125">(+V261-U261)/U261*100</f>
        <v>#DIV/0!</v>
      </c>
      <c r="AW261" s="393" t="e">
        <f t="shared" ref="AW261:AW324" si="126">(+W261-V261)/V261*100</f>
        <v>#DIV/0!</v>
      </c>
      <c r="AX261" s="393" t="e">
        <f t="shared" ref="AX261:AX324" si="127">(+X261-W261)/W261*100</f>
        <v>#DIV/0!</v>
      </c>
      <c r="AY261" s="393" t="e">
        <f t="shared" ref="AY261:AY324" si="128">(+Y261-X261)/X261*100</f>
        <v>#DIV/0!</v>
      </c>
      <c r="AZ261" s="393" t="e">
        <f t="shared" ref="AZ261:AZ324" si="129">(+Z261-Y261)/Y261*100</f>
        <v>#DIV/0!</v>
      </c>
      <c r="BA261" s="393" t="e">
        <f t="shared" ref="BA261:BA324" si="130">(+AA261-Z261)/Z261*100</f>
        <v>#DIV/0!</v>
      </c>
      <c r="BB261" s="393" t="e">
        <f t="shared" ref="BB261:BB324" si="131">(+AB261-AA261)/AA261*100</f>
        <v>#DIV/0!</v>
      </c>
    </row>
    <row r="262" spans="1:54" x14ac:dyDescent="0.25">
      <c r="A262" s="565" t="s">
        <v>3109</v>
      </c>
      <c r="B262" s="480"/>
      <c r="C262" s="480">
        <f>1119/1800</f>
        <v>0.62170000000000003</v>
      </c>
      <c r="D262" s="480">
        <f>1079/1800</f>
        <v>0.59940000000000004</v>
      </c>
      <c r="E262" s="480"/>
      <c r="F262" s="480"/>
      <c r="G262" s="480"/>
      <c r="H262" s="480"/>
      <c r="I262" s="480"/>
      <c r="J262" s="480"/>
      <c r="K262" s="480"/>
      <c r="L262" s="480"/>
      <c r="M262" s="480"/>
      <c r="N262" s="480"/>
      <c r="O262" s="480"/>
      <c r="P262" s="480"/>
      <c r="Q262" s="480"/>
      <c r="R262" s="480"/>
      <c r="S262" s="480"/>
      <c r="T262" s="480"/>
      <c r="U262" s="480"/>
      <c r="V262" s="480"/>
      <c r="W262" s="480"/>
      <c r="X262" s="480"/>
      <c r="Y262" s="480"/>
      <c r="Z262" s="480"/>
      <c r="AA262" s="480"/>
      <c r="AB262" s="480"/>
      <c r="AC262" s="393" t="e">
        <f t="shared" si="106"/>
        <v>#DIV/0!</v>
      </c>
      <c r="AD262" s="393">
        <f t="shared" si="107"/>
        <v>-3.5870000000000002</v>
      </c>
      <c r="AE262" s="393">
        <f t="shared" si="108"/>
        <v>-100</v>
      </c>
      <c r="AF262" s="393" t="e">
        <f t="shared" si="109"/>
        <v>#DIV/0!</v>
      </c>
      <c r="AG262" s="393" t="e">
        <f t="shared" si="110"/>
        <v>#DIV/0!</v>
      </c>
      <c r="AH262" s="393" t="e">
        <f t="shared" si="111"/>
        <v>#DIV/0!</v>
      </c>
      <c r="AI262" s="393" t="e">
        <f t="shared" si="112"/>
        <v>#DIV/0!</v>
      </c>
      <c r="AJ262" s="393" t="e">
        <f t="shared" si="113"/>
        <v>#DIV/0!</v>
      </c>
      <c r="AK262" s="393" t="e">
        <f t="shared" si="114"/>
        <v>#DIV/0!</v>
      </c>
      <c r="AL262" s="393" t="e">
        <f t="shared" si="115"/>
        <v>#DIV/0!</v>
      </c>
      <c r="AM262" s="393" t="e">
        <f t="shared" si="116"/>
        <v>#DIV/0!</v>
      </c>
      <c r="AN262" s="393" t="e">
        <f t="shared" si="117"/>
        <v>#DIV/0!</v>
      </c>
      <c r="AO262" s="393" t="e">
        <f t="shared" si="118"/>
        <v>#DIV/0!</v>
      </c>
      <c r="AP262" s="393" t="e">
        <f t="shared" si="119"/>
        <v>#DIV/0!</v>
      </c>
      <c r="AQ262" s="393" t="e">
        <f t="shared" si="120"/>
        <v>#DIV/0!</v>
      </c>
      <c r="AR262" s="393" t="e">
        <f t="shared" si="121"/>
        <v>#DIV/0!</v>
      </c>
      <c r="AS262" s="393" t="e">
        <f t="shared" si="122"/>
        <v>#DIV/0!</v>
      </c>
      <c r="AT262" s="393" t="e">
        <f t="shared" si="123"/>
        <v>#DIV/0!</v>
      </c>
      <c r="AU262" s="393" t="e">
        <f t="shared" si="124"/>
        <v>#DIV/0!</v>
      </c>
      <c r="AV262" s="393" t="e">
        <f t="shared" si="125"/>
        <v>#DIV/0!</v>
      </c>
      <c r="AW262" s="393" t="e">
        <f t="shared" si="126"/>
        <v>#DIV/0!</v>
      </c>
      <c r="AX262" s="393" t="e">
        <f t="shared" si="127"/>
        <v>#DIV/0!</v>
      </c>
      <c r="AY262" s="393" t="e">
        <f t="shared" si="128"/>
        <v>#DIV/0!</v>
      </c>
      <c r="AZ262" s="393" t="e">
        <f t="shared" si="129"/>
        <v>#DIV/0!</v>
      </c>
      <c r="BA262" s="393" t="e">
        <f t="shared" si="130"/>
        <v>#DIV/0!</v>
      </c>
      <c r="BB262" s="393" t="e">
        <f t="shared" si="131"/>
        <v>#DIV/0!</v>
      </c>
    </row>
    <row r="263" spans="1:54" x14ac:dyDescent="0.25">
      <c r="A263" s="361" t="s">
        <v>2695</v>
      </c>
      <c r="B263" s="480"/>
      <c r="C263" s="480"/>
      <c r="D263" s="480"/>
      <c r="E263" s="480"/>
      <c r="F263" s="480"/>
      <c r="G263" s="480"/>
      <c r="H263" s="480"/>
      <c r="I263" s="480"/>
      <c r="J263" s="480"/>
      <c r="K263" s="480"/>
      <c r="L263" s="480"/>
      <c r="M263" s="480"/>
      <c r="N263" s="480"/>
      <c r="O263" s="480"/>
      <c r="P263" s="480"/>
      <c r="Q263" s="480"/>
      <c r="R263" s="480"/>
      <c r="S263" s="480"/>
      <c r="T263" s="480"/>
      <c r="U263" s="480">
        <f>1209/1800</f>
        <v>0.67169999999999996</v>
      </c>
      <c r="V263" s="480"/>
      <c r="W263" s="480"/>
      <c r="X263" s="480"/>
      <c r="Y263" s="480"/>
      <c r="Z263" s="480"/>
      <c r="AA263" s="480"/>
      <c r="AB263" s="480"/>
      <c r="AC263" s="393" t="e">
        <f t="shared" si="106"/>
        <v>#DIV/0!</v>
      </c>
      <c r="AD263" s="393" t="e">
        <f t="shared" si="107"/>
        <v>#DIV/0!</v>
      </c>
      <c r="AE263" s="393" t="e">
        <f t="shared" si="108"/>
        <v>#DIV/0!</v>
      </c>
      <c r="AF263" s="393" t="e">
        <f t="shared" si="109"/>
        <v>#DIV/0!</v>
      </c>
      <c r="AG263" s="393" t="e">
        <f t="shared" si="110"/>
        <v>#DIV/0!</v>
      </c>
      <c r="AH263" s="393" t="e">
        <f t="shared" si="111"/>
        <v>#DIV/0!</v>
      </c>
      <c r="AI263" s="393" t="e">
        <f t="shared" si="112"/>
        <v>#DIV/0!</v>
      </c>
      <c r="AJ263" s="393" t="e">
        <f t="shared" si="113"/>
        <v>#DIV/0!</v>
      </c>
      <c r="AK263" s="393" t="e">
        <f t="shared" si="114"/>
        <v>#DIV/0!</v>
      </c>
      <c r="AL263" s="393" t="e">
        <f t="shared" si="115"/>
        <v>#DIV/0!</v>
      </c>
      <c r="AM263" s="393" t="e">
        <f t="shared" si="116"/>
        <v>#DIV/0!</v>
      </c>
      <c r="AN263" s="393" t="e">
        <f t="shared" si="117"/>
        <v>#DIV/0!</v>
      </c>
      <c r="AO263" s="393" t="e">
        <f t="shared" si="118"/>
        <v>#DIV/0!</v>
      </c>
      <c r="AP263" s="393" t="e">
        <f t="shared" si="119"/>
        <v>#DIV/0!</v>
      </c>
      <c r="AQ263" s="393" t="e">
        <f t="shared" si="120"/>
        <v>#DIV/0!</v>
      </c>
      <c r="AR263" s="393" t="e">
        <f t="shared" si="121"/>
        <v>#DIV/0!</v>
      </c>
      <c r="AS263" s="393" t="e">
        <f t="shared" si="122"/>
        <v>#DIV/0!</v>
      </c>
      <c r="AT263" s="393" t="e">
        <f t="shared" si="123"/>
        <v>#DIV/0!</v>
      </c>
      <c r="AU263" s="393" t="e">
        <f t="shared" si="124"/>
        <v>#DIV/0!</v>
      </c>
      <c r="AV263" s="393">
        <f t="shared" si="125"/>
        <v>-100</v>
      </c>
      <c r="AW263" s="393" t="e">
        <f t="shared" si="126"/>
        <v>#DIV/0!</v>
      </c>
      <c r="AX263" s="393" t="e">
        <f t="shared" si="127"/>
        <v>#DIV/0!</v>
      </c>
      <c r="AY263" s="393" t="e">
        <f t="shared" si="128"/>
        <v>#DIV/0!</v>
      </c>
      <c r="AZ263" s="393" t="e">
        <f t="shared" si="129"/>
        <v>#DIV/0!</v>
      </c>
      <c r="BA263" s="393" t="e">
        <f t="shared" si="130"/>
        <v>#DIV/0!</v>
      </c>
      <c r="BB263" s="393" t="e">
        <f t="shared" si="131"/>
        <v>#DIV/0!</v>
      </c>
    </row>
    <row r="264" spans="1:54" x14ac:dyDescent="0.25">
      <c r="A264" s="361" t="s">
        <v>960</v>
      </c>
      <c r="B264" s="480"/>
      <c r="C264" s="480"/>
      <c r="D264" s="480"/>
      <c r="E264" s="480"/>
      <c r="F264" s="480"/>
      <c r="G264" s="480"/>
      <c r="H264" s="480"/>
      <c r="I264" s="480"/>
      <c r="J264" s="480"/>
      <c r="K264" s="480"/>
      <c r="L264" s="480"/>
      <c r="M264" s="480"/>
      <c r="N264" s="480"/>
      <c r="O264" s="480"/>
      <c r="P264" s="480"/>
      <c r="Q264" s="480"/>
      <c r="R264" s="480"/>
      <c r="S264" s="480"/>
      <c r="T264" s="480"/>
      <c r="U264" s="480"/>
      <c r="V264" s="480"/>
      <c r="W264" s="480">
        <f>796/1200</f>
        <v>0.6633</v>
      </c>
      <c r="X264" s="480"/>
      <c r="Y264" s="480"/>
      <c r="Z264" s="480"/>
      <c r="AA264" s="480"/>
      <c r="AB264" s="480"/>
      <c r="AC264" s="393" t="e">
        <f t="shared" si="106"/>
        <v>#DIV/0!</v>
      </c>
      <c r="AD264" s="393" t="e">
        <f t="shared" si="107"/>
        <v>#DIV/0!</v>
      </c>
      <c r="AE264" s="393" t="e">
        <f t="shared" si="108"/>
        <v>#DIV/0!</v>
      </c>
      <c r="AF264" s="393" t="e">
        <f t="shared" si="109"/>
        <v>#DIV/0!</v>
      </c>
      <c r="AG264" s="393" t="e">
        <f t="shared" si="110"/>
        <v>#DIV/0!</v>
      </c>
      <c r="AH264" s="393" t="e">
        <f t="shared" si="111"/>
        <v>#DIV/0!</v>
      </c>
      <c r="AI264" s="393" t="e">
        <f t="shared" si="112"/>
        <v>#DIV/0!</v>
      </c>
      <c r="AJ264" s="393" t="e">
        <f t="shared" si="113"/>
        <v>#DIV/0!</v>
      </c>
      <c r="AK264" s="393" t="e">
        <f t="shared" si="114"/>
        <v>#DIV/0!</v>
      </c>
      <c r="AL264" s="393" t="e">
        <f t="shared" si="115"/>
        <v>#DIV/0!</v>
      </c>
      <c r="AM264" s="393" t="e">
        <f t="shared" si="116"/>
        <v>#DIV/0!</v>
      </c>
      <c r="AN264" s="393" t="e">
        <f t="shared" si="117"/>
        <v>#DIV/0!</v>
      </c>
      <c r="AO264" s="393" t="e">
        <f t="shared" si="118"/>
        <v>#DIV/0!</v>
      </c>
      <c r="AP264" s="393" t="e">
        <f t="shared" si="119"/>
        <v>#DIV/0!</v>
      </c>
      <c r="AQ264" s="393" t="e">
        <f t="shared" si="120"/>
        <v>#DIV/0!</v>
      </c>
      <c r="AR264" s="393" t="e">
        <f t="shared" si="121"/>
        <v>#DIV/0!</v>
      </c>
      <c r="AS264" s="393" t="e">
        <f t="shared" si="122"/>
        <v>#DIV/0!</v>
      </c>
      <c r="AT264" s="393" t="e">
        <f t="shared" si="123"/>
        <v>#DIV/0!</v>
      </c>
      <c r="AU264" s="393" t="e">
        <f t="shared" si="124"/>
        <v>#DIV/0!</v>
      </c>
      <c r="AV264" s="393" t="e">
        <f t="shared" si="125"/>
        <v>#DIV/0!</v>
      </c>
      <c r="AW264" s="393" t="e">
        <f t="shared" si="126"/>
        <v>#DIV/0!</v>
      </c>
      <c r="AX264" s="393">
        <f t="shared" si="127"/>
        <v>-100</v>
      </c>
      <c r="AY264" s="393" t="e">
        <f t="shared" si="128"/>
        <v>#DIV/0!</v>
      </c>
      <c r="AZ264" s="393" t="e">
        <f t="shared" si="129"/>
        <v>#DIV/0!</v>
      </c>
      <c r="BA264" s="393" t="e">
        <f t="shared" si="130"/>
        <v>#DIV/0!</v>
      </c>
      <c r="BB264" s="393" t="e">
        <f t="shared" si="131"/>
        <v>#DIV/0!</v>
      </c>
    </row>
    <row r="265" spans="1:54" x14ac:dyDescent="0.25">
      <c r="A265" s="360" t="s">
        <v>1623</v>
      </c>
      <c r="B265" s="480"/>
      <c r="C265" s="480"/>
      <c r="D265" s="480">
        <f>1285/1800</f>
        <v>0.71389999999999998</v>
      </c>
      <c r="E265" s="480">
        <f>786/1800</f>
        <v>0.43669999999999998</v>
      </c>
      <c r="F265" s="480"/>
      <c r="G265" s="480">
        <f>1555/2400</f>
        <v>0.64790000000000003</v>
      </c>
      <c r="H265" s="480"/>
      <c r="I265" s="480"/>
      <c r="J265" s="480"/>
      <c r="K265" s="480"/>
      <c r="L265" s="480"/>
      <c r="M265" s="480"/>
      <c r="N265" s="480"/>
      <c r="O265" s="480"/>
      <c r="P265" s="480"/>
      <c r="Q265" s="480"/>
      <c r="R265" s="480"/>
      <c r="S265" s="480"/>
      <c r="T265" s="480"/>
      <c r="U265" s="480"/>
      <c r="V265" s="480"/>
      <c r="W265" s="480"/>
      <c r="X265" s="480"/>
      <c r="Y265" s="480"/>
      <c r="Z265" s="480"/>
      <c r="AA265" s="480"/>
      <c r="AB265" s="480"/>
      <c r="AC265" s="393" t="e">
        <f t="shared" si="106"/>
        <v>#DIV/0!</v>
      </c>
      <c r="AD265" s="393" t="e">
        <f t="shared" si="107"/>
        <v>#DIV/0!</v>
      </c>
      <c r="AE265" s="393">
        <f t="shared" si="108"/>
        <v>-38.829000000000001</v>
      </c>
      <c r="AF265" s="393">
        <f t="shared" si="109"/>
        <v>-100</v>
      </c>
      <c r="AG265" s="393" t="e">
        <f t="shared" si="110"/>
        <v>#DIV/0!</v>
      </c>
      <c r="AH265" s="393">
        <f t="shared" si="111"/>
        <v>-100</v>
      </c>
      <c r="AI265" s="393" t="e">
        <f t="shared" si="112"/>
        <v>#DIV/0!</v>
      </c>
      <c r="AJ265" s="393" t="e">
        <f t="shared" si="113"/>
        <v>#DIV/0!</v>
      </c>
      <c r="AK265" s="393" t="e">
        <f t="shared" si="114"/>
        <v>#DIV/0!</v>
      </c>
      <c r="AL265" s="393" t="e">
        <f t="shared" si="115"/>
        <v>#DIV/0!</v>
      </c>
      <c r="AM265" s="393" t="e">
        <f t="shared" si="116"/>
        <v>#DIV/0!</v>
      </c>
      <c r="AN265" s="393" t="e">
        <f t="shared" si="117"/>
        <v>#DIV/0!</v>
      </c>
      <c r="AO265" s="393" t="e">
        <f t="shared" si="118"/>
        <v>#DIV/0!</v>
      </c>
      <c r="AP265" s="393" t="e">
        <f t="shared" si="119"/>
        <v>#DIV/0!</v>
      </c>
      <c r="AQ265" s="393" t="e">
        <f t="shared" si="120"/>
        <v>#DIV/0!</v>
      </c>
      <c r="AR265" s="393" t="e">
        <f t="shared" si="121"/>
        <v>#DIV/0!</v>
      </c>
      <c r="AS265" s="393" t="e">
        <f t="shared" si="122"/>
        <v>#DIV/0!</v>
      </c>
      <c r="AT265" s="393" t="e">
        <f t="shared" si="123"/>
        <v>#DIV/0!</v>
      </c>
      <c r="AU265" s="393" t="e">
        <f t="shared" si="124"/>
        <v>#DIV/0!</v>
      </c>
      <c r="AV265" s="393" t="e">
        <f t="shared" si="125"/>
        <v>#DIV/0!</v>
      </c>
      <c r="AW265" s="393" t="e">
        <f t="shared" si="126"/>
        <v>#DIV/0!</v>
      </c>
      <c r="AX265" s="393" t="e">
        <f t="shared" si="127"/>
        <v>#DIV/0!</v>
      </c>
      <c r="AY265" s="393" t="e">
        <f t="shared" si="128"/>
        <v>#DIV/0!</v>
      </c>
      <c r="AZ265" s="393" t="e">
        <f t="shared" si="129"/>
        <v>#DIV/0!</v>
      </c>
      <c r="BA265" s="393" t="e">
        <f t="shared" si="130"/>
        <v>#DIV/0!</v>
      </c>
      <c r="BB265" s="393" t="e">
        <f t="shared" si="131"/>
        <v>#DIV/0!</v>
      </c>
    </row>
    <row r="266" spans="1:54" x14ac:dyDescent="0.25">
      <c r="A266" s="360" t="s">
        <v>399</v>
      </c>
      <c r="B266" s="480"/>
      <c r="C266" s="480"/>
      <c r="D266" s="480">
        <f>794/1800</f>
        <v>0.44109999999999999</v>
      </c>
      <c r="E266" s="480">
        <f>856/1800</f>
        <v>0.47560000000000002</v>
      </c>
      <c r="F266" s="480">
        <f>514/1200</f>
        <v>0.42830000000000001</v>
      </c>
      <c r="G266" s="480"/>
      <c r="H266" s="480"/>
      <c r="I266" s="480"/>
      <c r="J266" s="480"/>
      <c r="K266" s="480"/>
      <c r="L266" s="480"/>
      <c r="M266" s="480"/>
      <c r="N266" s="480"/>
      <c r="O266" s="480"/>
      <c r="P266" s="480"/>
      <c r="Q266" s="480"/>
      <c r="R266" s="480"/>
      <c r="S266" s="480"/>
      <c r="T266" s="480"/>
      <c r="U266" s="480"/>
      <c r="V266" s="480"/>
      <c r="W266" s="480"/>
      <c r="X266" s="480"/>
      <c r="Y266" s="480"/>
      <c r="Z266" s="480"/>
      <c r="AA266" s="480"/>
      <c r="AB266" s="480"/>
      <c r="AC266" s="393" t="e">
        <f t="shared" si="106"/>
        <v>#DIV/0!</v>
      </c>
      <c r="AD266" s="393" t="e">
        <f t="shared" si="107"/>
        <v>#DIV/0!</v>
      </c>
      <c r="AE266" s="393">
        <f t="shared" si="108"/>
        <v>7.8209999999999997</v>
      </c>
      <c r="AF266" s="393">
        <f t="shared" si="109"/>
        <v>-9.9450000000000003</v>
      </c>
      <c r="AG266" s="393">
        <f t="shared" si="110"/>
        <v>-100</v>
      </c>
      <c r="AH266" s="393" t="e">
        <f t="shared" si="111"/>
        <v>#DIV/0!</v>
      </c>
      <c r="AI266" s="393" t="e">
        <f t="shared" si="112"/>
        <v>#DIV/0!</v>
      </c>
      <c r="AJ266" s="393" t="e">
        <f t="shared" si="113"/>
        <v>#DIV/0!</v>
      </c>
      <c r="AK266" s="393" t="e">
        <f t="shared" si="114"/>
        <v>#DIV/0!</v>
      </c>
      <c r="AL266" s="393" t="e">
        <f t="shared" si="115"/>
        <v>#DIV/0!</v>
      </c>
      <c r="AM266" s="393" t="e">
        <f t="shared" si="116"/>
        <v>#DIV/0!</v>
      </c>
      <c r="AN266" s="393" t="e">
        <f t="shared" si="117"/>
        <v>#DIV/0!</v>
      </c>
      <c r="AO266" s="393" t="e">
        <f t="shared" si="118"/>
        <v>#DIV/0!</v>
      </c>
      <c r="AP266" s="393" t="e">
        <f t="shared" si="119"/>
        <v>#DIV/0!</v>
      </c>
      <c r="AQ266" s="393" t="e">
        <f t="shared" si="120"/>
        <v>#DIV/0!</v>
      </c>
      <c r="AR266" s="393" t="e">
        <f t="shared" si="121"/>
        <v>#DIV/0!</v>
      </c>
      <c r="AS266" s="393" t="e">
        <f t="shared" si="122"/>
        <v>#DIV/0!</v>
      </c>
      <c r="AT266" s="393" t="e">
        <f t="shared" si="123"/>
        <v>#DIV/0!</v>
      </c>
      <c r="AU266" s="393" t="e">
        <f t="shared" si="124"/>
        <v>#DIV/0!</v>
      </c>
      <c r="AV266" s="393" t="e">
        <f t="shared" si="125"/>
        <v>#DIV/0!</v>
      </c>
      <c r="AW266" s="393" t="e">
        <f t="shared" si="126"/>
        <v>#DIV/0!</v>
      </c>
      <c r="AX266" s="393" t="e">
        <f t="shared" si="127"/>
        <v>#DIV/0!</v>
      </c>
      <c r="AY266" s="393" t="e">
        <f t="shared" si="128"/>
        <v>#DIV/0!</v>
      </c>
      <c r="AZ266" s="393" t="e">
        <f t="shared" si="129"/>
        <v>#DIV/0!</v>
      </c>
      <c r="BA266" s="393" t="e">
        <f t="shared" si="130"/>
        <v>#DIV/0!</v>
      </c>
      <c r="BB266" s="393" t="e">
        <f t="shared" si="131"/>
        <v>#DIV/0!</v>
      </c>
    </row>
    <row r="267" spans="1:54" x14ac:dyDescent="0.25">
      <c r="A267" s="361" t="s">
        <v>1187</v>
      </c>
      <c r="B267" s="480"/>
      <c r="C267" s="480"/>
      <c r="D267" s="480"/>
      <c r="E267" s="480"/>
      <c r="F267" s="480"/>
      <c r="G267" s="480"/>
      <c r="H267" s="480"/>
      <c r="I267" s="480"/>
      <c r="J267" s="480"/>
      <c r="K267" s="480"/>
      <c r="L267" s="480"/>
      <c r="M267" s="480"/>
      <c r="N267" s="480"/>
      <c r="O267" s="480"/>
      <c r="P267" s="480"/>
      <c r="Q267" s="480"/>
      <c r="R267" s="480"/>
      <c r="S267" s="480"/>
      <c r="T267" s="480"/>
      <c r="U267" s="480"/>
      <c r="V267" s="481"/>
      <c r="W267" s="481"/>
      <c r="X267" s="481">
        <f>1164/1800</f>
        <v>0.64670000000000005</v>
      </c>
      <c r="Y267" s="481"/>
      <c r="Z267" s="481"/>
      <c r="AA267" s="481"/>
      <c r="AB267" s="481"/>
      <c r="AC267" s="393" t="e">
        <f t="shared" si="106"/>
        <v>#DIV/0!</v>
      </c>
      <c r="AD267" s="393" t="e">
        <f t="shared" si="107"/>
        <v>#DIV/0!</v>
      </c>
      <c r="AE267" s="393" t="e">
        <f t="shared" si="108"/>
        <v>#DIV/0!</v>
      </c>
      <c r="AF267" s="393" t="e">
        <f t="shared" si="109"/>
        <v>#DIV/0!</v>
      </c>
      <c r="AG267" s="393" t="e">
        <f t="shared" si="110"/>
        <v>#DIV/0!</v>
      </c>
      <c r="AH267" s="393" t="e">
        <f t="shared" si="111"/>
        <v>#DIV/0!</v>
      </c>
      <c r="AI267" s="393" t="e">
        <f t="shared" si="112"/>
        <v>#DIV/0!</v>
      </c>
      <c r="AJ267" s="393" t="e">
        <f t="shared" si="113"/>
        <v>#DIV/0!</v>
      </c>
      <c r="AK267" s="393" t="e">
        <f t="shared" si="114"/>
        <v>#DIV/0!</v>
      </c>
      <c r="AL267" s="393" t="e">
        <f t="shared" si="115"/>
        <v>#DIV/0!</v>
      </c>
      <c r="AM267" s="393" t="e">
        <f t="shared" si="116"/>
        <v>#DIV/0!</v>
      </c>
      <c r="AN267" s="393" t="e">
        <f t="shared" si="117"/>
        <v>#DIV/0!</v>
      </c>
      <c r="AO267" s="393" t="e">
        <f t="shared" si="118"/>
        <v>#DIV/0!</v>
      </c>
      <c r="AP267" s="393" t="e">
        <f t="shared" si="119"/>
        <v>#DIV/0!</v>
      </c>
      <c r="AQ267" s="393" t="e">
        <f t="shared" si="120"/>
        <v>#DIV/0!</v>
      </c>
      <c r="AR267" s="393" t="e">
        <f t="shared" si="121"/>
        <v>#DIV/0!</v>
      </c>
      <c r="AS267" s="393" t="e">
        <f t="shared" si="122"/>
        <v>#DIV/0!</v>
      </c>
      <c r="AT267" s="393" t="e">
        <f t="shared" si="123"/>
        <v>#DIV/0!</v>
      </c>
      <c r="AU267" s="393" t="e">
        <f t="shared" si="124"/>
        <v>#DIV/0!</v>
      </c>
      <c r="AV267" s="393" t="e">
        <f t="shared" si="125"/>
        <v>#DIV/0!</v>
      </c>
      <c r="AW267" s="393" t="e">
        <f t="shared" si="126"/>
        <v>#DIV/0!</v>
      </c>
      <c r="AX267" s="393" t="e">
        <f t="shared" si="127"/>
        <v>#DIV/0!</v>
      </c>
      <c r="AY267" s="393">
        <f t="shared" si="128"/>
        <v>-100</v>
      </c>
      <c r="AZ267" s="393" t="e">
        <f t="shared" si="129"/>
        <v>#DIV/0!</v>
      </c>
      <c r="BA267" s="393" t="e">
        <f t="shared" si="130"/>
        <v>#DIV/0!</v>
      </c>
      <c r="BB267" s="393" t="e">
        <f t="shared" si="131"/>
        <v>#DIV/0!</v>
      </c>
    </row>
    <row r="268" spans="1:54" x14ac:dyDescent="0.25">
      <c r="A268" s="360" t="s">
        <v>2252</v>
      </c>
      <c r="B268" s="480"/>
      <c r="C268" s="480"/>
      <c r="D268" s="480"/>
      <c r="E268" s="480"/>
      <c r="F268" s="480">
        <f>528/1200</f>
        <v>0.44</v>
      </c>
      <c r="G268" s="480"/>
      <c r="H268" s="480"/>
      <c r="I268" s="480"/>
      <c r="J268" s="480"/>
      <c r="K268" s="480"/>
      <c r="L268" s="480"/>
      <c r="M268" s="480"/>
      <c r="N268" s="480"/>
      <c r="O268" s="480"/>
      <c r="P268" s="480"/>
      <c r="Q268" s="480"/>
      <c r="R268" s="480"/>
      <c r="S268" s="480"/>
      <c r="T268" s="480"/>
      <c r="U268" s="480"/>
      <c r="V268" s="480"/>
      <c r="W268" s="480"/>
      <c r="X268" s="480"/>
      <c r="Y268" s="480"/>
      <c r="Z268" s="480"/>
      <c r="AA268" s="480"/>
      <c r="AB268" s="480"/>
      <c r="AC268" s="393" t="e">
        <f t="shared" si="106"/>
        <v>#DIV/0!</v>
      </c>
      <c r="AD268" s="393" t="e">
        <f t="shared" si="107"/>
        <v>#DIV/0!</v>
      </c>
      <c r="AE268" s="393" t="e">
        <f t="shared" si="108"/>
        <v>#DIV/0!</v>
      </c>
      <c r="AF268" s="393" t="e">
        <f t="shared" si="109"/>
        <v>#DIV/0!</v>
      </c>
      <c r="AG268" s="393">
        <f t="shared" si="110"/>
        <v>-100</v>
      </c>
      <c r="AH268" s="393" t="e">
        <f t="shared" si="111"/>
        <v>#DIV/0!</v>
      </c>
      <c r="AI268" s="393" t="e">
        <f t="shared" si="112"/>
        <v>#DIV/0!</v>
      </c>
      <c r="AJ268" s="393" t="e">
        <f t="shared" si="113"/>
        <v>#DIV/0!</v>
      </c>
      <c r="AK268" s="393" t="e">
        <f t="shared" si="114"/>
        <v>#DIV/0!</v>
      </c>
      <c r="AL268" s="393" t="e">
        <f t="shared" si="115"/>
        <v>#DIV/0!</v>
      </c>
      <c r="AM268" s="393" t="e">
        <f t="shared" si="116"/>
        <v>#DIV/0!</v>
      </c>
      <c r="AN268" s="393" t="e">
        <f t="shared" si="117"/>
        <v>#DIV/0!</v>
      </c>
      <c r="AO268" s="393" t="e">
        <f t="shared" si="118"/>
        <v>#DIV/0!</v>
      </c>
      <c r="AP268" s="393" t="e">
        <f t="shared" si="119"/>
        <v>#DIV/0!</v>
      </c>
      <c r="AQ268" s="393" t="e">
        <f t="shared" si="120"/>
        <v>#DIV/0!</v>
      </c>
      <c r="AR268" s="393" t="e">
        <f t="shared" si="121"/>
        <v>#DIV/0!</v>
      </c>
      <c r="AS268" s="393" t="e">
        <f t="shared" si="122"/>
        <v>#DIV/0!</v>
      </c>
      <c r="AT268" s="393" t="e">
        <f t="shared" si="123"/>
        <v>#DIV/0!</v>
      </c>
      <c r="AU268" s="393" t="e">
        <f t="shared" si="124"/>
        <v>#DIV/0!</v>
      </c>
      <c r="AV268" s="393" t="e">
        <f t="shared" si="125"/>
        <v>#DIV/0!</v>
      </c>
      <c r="AW268" s="393" t="e">
        <f t="shared" si="126"/>
        <v>#DIV/0!</v>
      </c>
      <c r="AX268" s="393" t="e">
        <f t="shared" si="127"/>
        <v>#DIV/0!</v>
      </c>
      <c r="AY268" s="393" t="e">
        <f t="shared" si="128"/>
        <v>#DIV/0!</v>
      </c>
      <c r="AZ268" s="393" t="e">
        <f t="shared" si="129"/>
        <v>#DIV/0!</v>
      </c>
      <c r="BA268" s="393" t="e">
        <f t="shared" si="130"/>
        <v>#DIV/0!</v>
      </c>
      <c r="BB268" s="393" t="e">
        <f t="shared" si="131"/>
        <v>#DIV/0!</v>
      </c>
    </row>
    <row r="269" spans="1:54" x14ac:dyDescent="0.25">
      <c r="A269" s="361" t="s">
        <v>1574</v>
      </c>
      <c r="B269" s="480"/>
      <c r="C269" s="480"/>
      <c r="D269" s="480"/>
      <c r="E269" s="480"/>
      <c r="F269" s="480"/>
      <c r="G269" s="480"/>
      <c r="H269" s="480"/>
      <c r="I269" s="480"/>
      <c r="J269" s="480"/>
      <c r="K269" s="480"/>
      <c r="L269" s="480"/>
      <c r="M269" s="480"/>
      <c r="N269" s="480"/>
      <c r="O269" s="480"/>
      <c r="P269" s="480"/>
      <c r="Q269" s="480">
        <f>946/1800</f>
        <v>0.52559999999999996</v>
      </c>
      <c r="R269" s="480"/>
      <c r="S269" s="480"/>
      <c r="T269" s="480"/>
      <c r="U269" s="480"/>
      <c r="V269" s="480"/>
      <c r="W269" s="480"/>
      <c r="X269" s="480"/>
      <c r="Y269" s="480"/>
      <c r="Z269" s="480"/>
      <c r="AA269" s="480"/>
      <c r="AB269" s="480"/>
      <c r="AC269" s="393" t="e">
        <f t="shared" si="106"/>
        <v>#DIV/0!</v>
      </c>
      <c r="AD269" s="393" t="e">
        <f t="shared" si="107"/>
        <v>#DIV/0!</v>
      </c>
      <c r="AE269" s="393" t="e">
        <f t="shared" si="108"/>
        <v>#DIV/0!</v>
      </c>
      <c r="AF269" s="393" t="e">
        <f t="shared" si="109"/>
        <v>#DIV/0!</v>
      </c>
      <c r="AG269" s="393" t="e">
        <f t="shared" si="110"/>
        <v>#DIV/0!</v>
      </c>
      <c r="AH269" s="393" t="e">
        <f t="shared" si="111"/>
        <v>#DIV/0!</v>
      </c>
      <c r="AI269" s="393" t="e">
        <f t="shared" si="112"/>
        <v>#DIV/0!</v>
      </c>
      <c r="AJ269" s="393" t="e">
        <f t="shared" si="113"/>
        <v>#DIV/0!</v>
      </c>
      <c r="AK269" s="393" t="e">
        <f t="shared" si="114"/>
        <v>#DIV/0!</v>
      </c>
      <c r="AL269" s="393" t="e">
        <f t="shared" si="115"/>
        <v>#DIV/0!</v>
      </c>
      <c r="AM269" s="393" t="e">
        <f t="shared" si="116"/>
        <v>#DIV/0!</v>
      </c>
      <c r="AN269" s="393" t="e">
        <f t="shared" si="117"/>
        <v>#DIV/0!</v>
      </c>
      <c r="AO269" s="393" t="e">
        <f t="shared" si="118"/>
        <v>#DIV/0!</v>
      </c>
      <c r="AP269" s="393" t="e">
        <f t="shared" si="119"/>
        <v>#DIV/0!</v>
      </c>
      <c r="AQ269" s="393" t="e">
        <f t="shared" si="120"/>
        <v>#DIV/0!</v>
      </c>
      <c r="AR269" s="393">
        <f t="shared" si="121"/>
        <v>-100</v>
      </c>
      <c r="AS269" s="393" t="e">
        <f t="shared" si="122"/>
        <v>#DIV/0!</v>
      </c>
      <c r="AT269" s="393" t="e">
        <f t="shared" si="123"/>
        <v>#DIV/0!</v>
      </c>
      <c r="AU269" s="393" t="e">
        <f t="shared" si="124"/>
        <v>#DIV/0!</v>
      </c>
      <c r="AV269" s="393" t="e">
        <f t="shared" si="125"/>
        <v>#DIV/0!</v>
      </c>
      <c r="AW269" s="393" t="e">
        <f t="shared" si="126"/>
        <v>#DIV/0!</v>
      </c>
      <c r="AX269" s="393" t="e">
        <f t="shared" si="127"/>
        <v>#DIV/0!</v>
      </c>
      <c r="AY269" s="393" t="e">
        <f t="shared" si="128"/>
        <v>#DIV/0!</v>
      </c>
      <c r="AZ269" s="393" t="e">
        <f t="shared" si="129"/>
        <v>#DIV/0!</v>
      </c>
      <c r="BA269" s="393" t="e">
        <f t="shared" si="130"/>
        <v>#DIV/0!</v>
      </c>
      <c r="BB269" s="393" t="e">
        <f t="shared" si="131"/>
        <v>#DIV/0!</v>
      </c>
    </row>
    <row r="270" spans="1:54" x14ac:dyDescent="0.25">
      <c r="A270" s="361" t="s">
        <v>1595</v>
      </c>
      <c r="B270" s="480"/>
      <c r="C270" s="480"/>
      <c r="D270" s="480"/>
      <c r="E270" s="480"/>
      <c r="F270" s="480"/>
      <c r="G270" s="480"/>
      <c r="H270" s="480"/>
      <c r="I270" s="480"/>
      <c r="J270" s="480"/>
      <c r="K270" s="480"/>
      <c r="L270" s="480"/>
      <c r="M270" s="480"/>
      <c r="N270" s="480"/>
      <c r="O270" s="480"/>
      <c r="P270" s="480"/>
      <c r="Q270" s="480"/>
      <c r="R270" s="480">
        <f>990/1800</f>
        <v>0.55000000000000004</v>
      </c>
      <c r="S270" s="480">
        <f>972/1800</f>
        <v>0.54</v>
      </c>
      <c r="T270" s="480"/>
      <c r="U270" s="480"/>
      <c r="V270" s="480"/>
      <c r="W270" s="480"/>
      <c r="X270" s="480"/>
      <c r="Y270" s="480"/>
      <c r="Z270" s="480"/>
      <c r="AA270" s="480"/>
      <c r="AB270" s="480"/>
      <c r="AC270" s="393" t="e">
        <f t="shared" si="106"/>
        <v>#DIV/0!</v>
      </c>
      <c r="AD270" s="393" t="e">
        <f t="shared" si="107"/>
        <v>#DIV/0!</v>
      </c>
      <c r="AE270" s="393" t="e">
        <f t="shared" si="108"/>
        <v>#DIV/0!</v>
      </c>
      <c r="AF270" s="393" t="e">
        <f t="shared" si="109"/>
        <v>#DIV/0!</v>
      </c>
      <c r="AG270" s="393" t="e">
        <f t="shared" si="110"/>
        <v>#DIV/0!</v>
      </c>
      <c r="AH270" s="393" t="e">
        <f t="shared" si="111"/>
        <v>#DIV/0!</v>
      </c>
      <c r="AI270" s="393" t="e">
        <f t="shared" si="112"/>
        <v>#DIV/0!</v>
      </c>
      <c r="AJ270" s="393" t="e">
        <f t="shared" si="113"/>
        <v>#DIV/0!</v>
      </c>
      <c r="AK270" s="393" t="e">
        <f t="shared" si="114"/>
        <v>#DIV/0!</v>
      </c>
      <c r="AL270" s="393" t="e">
        <f t="shared" si="115"/>
        <v>#DIV/0!</v>
      </c>
      <c r="AM270" s="393" t="e">
        <f t="shared" si="116"/>
        <v>#DIV/0!</v>
      </c>
      <c r="AN270" s="393" t="e">
        <f t="shared" si="117"/>
        <v>#DIV/0!</v>
      </c>
      <c r="AO270" s="393" t="e">
        <f t="shared" si="118"/>
        <v>#DIV/0!</v>
      </c>
      <c r="AP270" s="393" t="e">
        <f t="shared" si="119"/>
        <v>#DIV/0!</v>
      </c>
      <c r="AQ270" s="393" t="e">
        <f t="shared" si="120"/>
        <v>#DIV/0!</v>
      </c>
      <c r="AR270" s="393" t="e">
        <f t="shared" si="121"/>
        <v>#DIV/0!</v>
      </c>
      <c r="AS270" s="393">
        <f t="shared" si="122"/>
        <v>-1.8180000000000001</v>
      </c>
      <c r="AT270" s="393">
        <f t="shared" si="123"/>
        <v>-100</v>
      </c>
      <c r="AU270" s="393" t="e">
        <f t="shared" si="124"/>
        <v>#DIV/0!</v>
      </c>
      <c r="AV270" s="393" t="e">
        <f t="shared" si="125"/>
        <v>#DIV/0!</v>
      </c>
      <c r="AW270" s="393" t="e">
        <f t="shared" si="126"/>
        <v>#DIV/0!</v>
      </c>
      <c r="AX270" s="393" t="e">
        <f t="shared" si="127"/>
        <v>#DIV/0!</v>
      </c>
      <c r="AY270" s="393" t="e">
        <f t="shared" si="128"/>
        <v>#DIV/0!</v>
      </c>
      <c r="AZ270" s="393" t="e">
        <f t="shared" si="129"/>
        <v>#DIV/0!</v>
      </c>
      <c r="BA270" s="393" t="e">
        <f t="shared" si="130"/>
        <v>#DIV/0!</v>
      </c>
      <c r="BB270" s="393" t="e">
        <f t="shared" si="131"/>
        <v>#DIV/0!</v>
      </c>
    </row>
    <row r="271" spans="1:54" x14ac:dyDescent="0.25">
      <c r="A271" s="361" t="s">
        <v>1527</v>
      </c>
      <c r="B271" s="480"/>
      <c r="C271" s="480"/>
      <c r="D271" s="480"/>
      <c r="E271" s="480"/>
      <c r="F271" s="480"/>
      <c r="G271" s="480"/>
      <c r="H271" s="480"/>
      <c r="I271" s="480"/>
      <c r="J271" s="480"/>
      <c r="K271" s="480"/>
      <c r="L271" s="480"/>
      <c r="M271" s="480"/>
      <c r="N271" s="480"/>
      <c r="O271" s="480"/>
      <c r="P271" s="480"/>
      <c r="Q271" s="480"/>
      <c r="R271" s="480">
        <f>1030/1800</f>
        <v>0.57220000000000004</v>
      </c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393" t="e">
        <f t="shared" si="106"/>
        <v>#DIV/0!</v>
      </c>
      <c r="AD271" s="393" t="e">
        <f t="shared" si="107"/>
        <v>#DIV/0!</v>
      </c>
      <c r="AE271" s="393" t="e">
        <f t="shared" si="108"/>
        <v>#DIV/0!</v>
      </c>
      <c r="AF271" s="393" t="e">
        <f t="shared" si="109"/>
        <v>#DIV/0!</v>
      </c>
      <c r="AG271" s="393" t="e">
        <f t="shared" si="110"/>
        <v>#DIV/0!</v>
      </c>
      <c r="AH271" s="393" t="e">
        <f t="shared" si="111"/>
        <v>#DIV/0!</v>
      </c>
      <c r="AI271" s="393" t="e">
        <f t="shared" si="112"/>
        <v>#DIV/0!</v>
      </c>
      <c r="AJ271" s="393" t="e">
        <f t="shared" si="113"/>
        <v>#DIV/0!</v>
      </c>
      <c r="AK271" s="393" t="e">
        <f t="shared" si="114"/>
        <v>#DIV/0!</v>
      </c>
      <c r="AL271" s="393" t="e">
        <f t="shared" si="115"/>
        <v>#DIV/0!</v>
      </c>
      <c r="AM271" s="393" t="e">
        <f t="shared" si="116"/>
        <v>#DIV/0!</v>
      </c>
      <c r="AN271" s="393" t="e">
        <f t="shared" si="117"/>
        <v>#DIV/0!</v>
      </c>
      <c r="AO271" s="393" t="e">
        <f t="shared" si="118"/>
        <v>#DIV/0!</v>
      </c>
      <c r="AP271" s="393" t="e">
        <f t="shared" si="119"/>
        <v>#DIV/0!</v>
      </c>
      <c r="AQ271" s="393" t="e">
        <f t="shared" si="120"/>
        <v>#DIV/0!</v>
      </c>
      <c r="AR271" s="393" t="e">
        <f t="shared" si="121"/>
        <v>#DIV/0!</v>
      </c>
      <c r="AS271" s="393">
        <f t="shared" si="122"/>
        <v>-100</v>
      </c>
      <c r="AT271" s="393" t="e">
        <f t="shared" si="123"/>
        <v>#DIV/0!</v>
      </c>
      <c r="AU271" s="393" t="e">
        <f t="shared" si="124"/>
        <v>#DIV/0!</v>
      </c>
      <c r="AV271" s="393" t="e">
        <f t="shared" si="125"/>
        <v>#DIV/0!</v>
      </c>
      <c r="AW271" s="393" t="e">
        <f t="shared" si="126"/>
        <v>#DIV/0!</v>
      </c>
      <c r="AX271" s="393" t="e">
        <f t="shared" si="127"/>
        <v>#DIV/0!</v>
      </c>
      <c r="AY271" s="393" t="e">
        <f t="shared" si="128"/>
        <v>#DIV/0!</v>
      </c>
      <c r="AZ271" s="393" t="e">
        <f t="shared" si="129"/>
        <v>#DIV/0!</v>
      </c>
      <c r="BA271" s="393" t="e">
        <f t="shared" si="130"/>
        <v>#DIV/0!</v>
      </c>
      <c r="BB271" s="393" t="e">
        <f t="shared" si="131"/>
        <v>#DIV/0!</v>
      </c>
    </row>
    <row r="272" spans="1:54" x14ac:dyDescent="0.25">
      <c r="A272" s="361" t="s">
        <v>531</v>
      </c>
      <c r="B272" s="480"/>
      <c r="C272" s="480"/>
      <c r="D272" s="480"/>
      <c r="E272" s="480"/>
      <c r="F272" s="480"/>
      <c r="G272" s="480"/>
      <c r="H272" s="480"/>
      <c r="I272" s="480"/>
      <c r="J272" s="480"/>
      <c r="K272" s="480"/>
      <c r="L272" s="480"/>
      <c r="M272" s="480"/>
      <c r="N272" s="480"/>
      <c r="O272" s="480"/>
      <c r="P272" s="480"/>
      <c r="Q272" s="480"/>
      <c r="R272" s="480"/>
      <c r="S272" s="480"/>
      <c r="T272" s="480">
        <f>749/1200</f>
        <v>0.62419999999999998</v>
      </c>
      <c r="U272" s="480"/>
      <c r="V272" s="480"/>
      <c r="W272" s="480"/>
      <c r="X272" s="480"/>
      <c r="Y272" s="480"/>
      <c r="Z272" s="480"/>
      <c r="AA272" s="480"/>
      <c r="AB272" s="480"/>
      <c r="AC272" s="393" t="e">
        <f t="shared" si="106"/>
        <v>#DIV/0!</v>
      </c>
      <c r="AD272" s="393" t="e">
        <f t="shared" si="107"/>
        <v>#DIV/0!</v>
      </c>
      <c r="AE272" s="393" t="e">
        <f t="shared" si="108"/>
        <v>#DIV/0!</v>
      </c>
      <c r="AF272" s="393" t="e">
        <f t="shared" si="109"/>
        <v>#DIV/0!</v>
      </c>
      <c r="AG272" s="393" t="e">
        <f t="shared" si="110"/>
        <v>#DIV/0!</v>
      </c>
      <c r="AH272" s="393" t="e">
        <f t="shared" si="111"/>
        <v>#DIV/0!</v>
      </c>
      <c r="AI272" s="393" t="e">
        <f t="shared" si="112"/>
        <v>#DIV/0!</v>
      </c>
      <c r="AJ272" s="393" t="e">
        <f t="shared" si="113"/>
        <v>#DIV/0!</v>
      </c>
      <c r="AK272" s="393" t="e">
        <f t="shared" si="114"/>
        <v>#DIV/0!</v>
      </c>
      <c r="AL272" s="393" t="e">
        <f t="shared" si="115"/>
        <v>#DIV/0!</v>
      </c>
      <c r="AM272" s="393" t="e">
        <f t="shared" si="116"/>
        <v>#DIV/0!</v>
      </c>
      <c r="AN272" s="393" t="e">
        <f t="shared" si="117"/>
        <v>#DIV/0!</v>
      </c>
      <c r="AO272" s="393" t="e">
        <f t="shared" si="118"/>
        <v>#DIV/0!</v>
      </c>
      <c r="AP272" s="393" t="e">
        <f t="shared" si="119"/>
        <v>#DIV/0!</v>
      </c>
      <c r="AQ272" s="393" t="e">
        <f t="shared" si="120"/>
        <v>#DIV/0!</v>
      </c>
      <c r="AR272" s="393" t="e">
        <f t="shared" si="121"/>
        <v>#DIV/0!</v>
      </c>
      <c r="AS272" s="393" t="e">
        <f t="shared" si="122"/>
        <v>#DIV/0!</v>
      </c>
      <c r="AT272" s="393" t="e">
        <f t="shared" si="123"/>
        <v>#DIV/0!</v>
      </c>
      <c r="AU272" s="393">
        <f t="shared" si="124"/>
        <v>-100</v>
      </c>
      <c r="AV272" s="393" t="e">
        <f t="shared" si="125"/>
        <v>#DIV/0!</v>
      </c>
      <c r="AW272" s="393" t="e">
        <f t="shared" si="126"/>
        <v>#DIV/0!</v>
      </c>
      <c r="AX272" s="393" t="e">
        <f t="shared" si="127"/>
        <v>#DIV/0!</v>
      </c>
      <c r="AY272" s="393" t="e">
        <f t="shared" si="128"/>
        <v>#DIV/0!</v>
      </c>
      <c r="AZ272" s="393" t="e">
        <f t="shared" si="129"/>
        <v>#DIV/0!</v>
      </c>
      <c r="BA272" s="393" t="e">
        <f t="shared" si="130"/>
        <v>#DIV/0!</v>
      </c>
      <c r="BB272" s="393" t="e">
        <f t="shared" si="131"/>
        <v>#DIV/0!</v>
      </c>
    </row>
    <row r="273" spans="1:54" x14ac:dyDescent="0.25">
      <c r="A273" s="361" t="s">
        <v>1122</v>
      </c>
      <c r="B273" s="480"/>
      <c r="C273" s="480"/>
      <c r="D273" s="480"/>
      <c r="E273" s="480"/>
      <c r="F273" s="480"/>
      <c r="G273" s="480"/>
      <c r="H273" s="480"/>
      <c r="I273" s="480"/>
      <c r="J273" s="480"/>
      <c r="K273" s="480"/>
      <c r="L273" s="480"/>
      <c r="M273" s="480"/>
      <c r="N273" s="480"/>
      <c r="O273" s="480"/>
      <c r="P273" s="480"/>
      <c r="Q273" s="480"/>
      <c r="R273" s="480"/>
      <c r="S273" s="480"/>
      <c r="T273" s="480"/>
      <c r="U273" s="480"/>
      <c r="V273" s="480"/>
      <c r="W273" s="480"/>
      <c r="X273" s="480">
        <f>1033/1800</f>
        <v>0.57389999999999997</v>
      </c>
      <c r="Y273" s="480">
        <f>1043/1800</f>
        <v>0.57940000000000003</v>
      </c>
      <c r="Z273" s="480"/>
      <c r="AA273" s="480"/>
      <c r="AB273" s="480"/>
      <c r="AC273" s="393" t="e">
        <f t="shared" si="106"/>
        <v>#DIV/0!</v>
      </c>
      <c r="AD273" s="393" t="e">
        <f t="shared" si="107"/>
        <v>#DIV/0!</v>
      </c>
      <c r="AE273" s="393" t="e">
        <f t="shared" si="108"/>
        <v>#DIV/0!</v>
      </c>
      <c r="AF273" s="393" t="e">
        <f t="shared" si="109"/>
        <v>#DIV/0!</v>
      </c>
      <c r="AG273" s="393" t="e">
        <f t="shared" si="110"/>
        <v>#DIV/0!</v>
      </c>
      <c r="AH273" s="393" t="e">
        <f t="shared" si="111"/>
        <v>#DIV/0!</v>
      </c>
      <c r="AI273" s="393" t="e">
        <f t="shared" si="112"/>
        <v>#DIV/0!</v>
      </c>
      <c r="AJ273" s="393" t="e">
        <f t="shared" si="113"/>
        <v>#DIV/0!</v>
      </c>
      <c r="AK273" s="393" t="e">
        <f t="shared" si="114"/>
        <v>#DIV/0!</v>
      </c>
      <c r="AL273" s="393" t="e">
        <f t="shared" si="115"/>
        <v>#DIV/0!</v>
      </c>
      <c r="AM273" s="393" t="e">
        <f t="shared" si="116"/>
        <v>#DIV/0!</v>
      </c>
      <c r="AN273" s="393" t="e">
        <f t="shared" si="117"/>
        <v>#DIV/0!</v>
      </c>
      <c r="AO273" s="393" t="e">
        <f t="shared" si="118"/>
        <v>#DIV/0!</v>
      </c>
      <c r="AP273" s="393" t="e">
        <f t="shared" si="119"/>
        <v>#DIV/0!</v>
      </c>
      <c r="AQ273" s="393" t="e">
        <f t="shared" si="120"/>
        <v>#DIV/0!</v>
      </c>
      <c r="AR273" s="393" t="e">
        <f t="shared" si="121"/>
        <v>#DIV/0!</v>
      </c>
      <c r="AS273" s="393" t="e">
        <f t="shared" si="122"/>
        <v>#DIV/0!</v>
      </c>
      <c r="AT273" s="393" t="e">
        <f t="shared" si="123"/>
        <v>#DIV/0!</v>
      </c>
      <c r="AU273" s="393" t="e">
        <f t="shared" si="124"/>
        <v>#DIV/0!</v>
      </c>
      <c r="AV273" s="393" t="e">
        <f t="shared" si="125"/>
        <v>#DIV/0!</v>
      </c>
      <c r="AW273" s="393" t="e">
        <f t="shared" si="126"/>
        <v>#DIV/0!</v>
      </c>
      <c r="AX273" s="393" t="e">
        <f t="shared" si="127"/>
        <v>#DIV/0!</v>
      </c>
      <c r="AY273" s="393">
        <f t="shared" si="128"/>
        <v>0.95799999999999996</v>
      </c>
      <c r="AZ273" s="393">
        <f t="shared" si="129"/>
        <v>-100</v>
      </c>
      <c r="BA273" s="393" t="e">
        <f t="shared" si="130"/>
        <v>#DIV/0!</v>
      </c>
      <c r="BB273" s="393" t="e">
        <f t="shared" si="131"/>
        <v>#DIV/0!</v>
      </c>
    </row>
    <row r="274" spans="1:54" x14ac:dyDescent="0.25">
      <c r="A274" s="361" t="s">
        <v>1195</v>
      </c>
      <c r="B274" s="480"/>
      <c r="C274" s="480"/>
      <c r="D274" s="480"/>
      <c r="E274" s="480"/>
      <c r="F274" s="480"/>
      <c r="G274" s="480"/>
      <c r="H274" s="480"/>
      <c r="I274" s="480"/>
      <c r="J274" s="480"/>
      <c r="K274" s="480"/>
      <c r="L274" s="480"/>
      <c r="M274" s="480"/>
      <c r="N274" s="480"/>
      <c r="O274" s="480"/>
      <c r="P274" s="480">
        <f>929/1800</f>
        <v>0.5161</v>
      </c>
      <c r="Q274" s="480">
        <f>866/1800</f>
        <v>0.48110000000000003</v>
      </c>
      <c r="R274" s="480"/>
      <c r="S274" s="480"/>
      <c r="T274" s="480"/>
      <c r="U274" s="480"/>
      <c r="V274" s="480"/>
      <c r="W274" s="480"/>
      <c r="X274" s="480"/>
      <c r="Y274" s="480"/>
      <c r="Z274" s="480"/>
      <c r="AA274" s="480"/>
      <c r="AB274" s="480"/>
      <c r="AC274" s="393" t="e">
        <f t="shared" si="106"/>
        <v>#DIV/0!</v>
      </c>
      <c r="AD274" s="393" t="e">
        <f t="shared" si="107"/>
        <v>#DIV/0!</v>
      </c>
      <c r="AE274" s="393" t="e">
        <f t="shared" si="108"/>
        <v>#DIV/0!</v>
      </c>
      <c r="AF274" s="393" t="e">
        <f t="shared" si="109"/>
        <v>#DIV/0!</v>
      </c>
      <c r="AG274" s="393" t="e">
        <f t="shared" si="110"/>
        <v>#DIV/0!</v>
      </c>
      <c r="AH274" s="393" t="e">
        <f t="shared" si="111"/>
        <v>#DIV/0!</v>
      </c>
      <c r="AI274" s="393" t="e">
        <f t="shared" si="112"/>
        <v>#DIV/0!</v>
      </c>
      <c r="AJ274" s="393" t="e">
        <f t="shared" si="113"/>
        <v>#DIV/0!</v>
      </c>
      <c r="AK274" s="393" t="e">
        <f t="shared" si="114"/>
        <v>#DIV/0!</v>
      </c>
      <c r="AL274" s="393" t="e">
        <f t="shared" si="115"/>
        <v>#DIV/0!</v>
      </c>
      <c r="AM274" s="393" t="e">
        <f t="shared" si="116"/>
        <v>#DIV/0!</v>
      </c>
      <c r="AN274" s="393" t="e">
        <f t="shared" si="117"/>
        <v>#DIV/0!</v>
      </c>
      <c r="AO274" s="393" t="e">
        <f t="shared" si="118"/>
        <v>#DIV/0!</v>
      </c>
      <c r="AP274" s="393" t="e">
        <f t="shared" si="119"/>
        <v>#DIV/0!</v>
      </c>
      <c r="AQ274" s="393">
        <f t="shared" si="120"/>
        <v>-6.782</v>
      </c>
      <c r="AR274" s="393">
        <f t="shared" si="121"/>
        <v>-100</v>
      </c>
      <c r="AS274" s="393" t="e">
        <f t="shared" si="122"/>
        <v>#DIV/0!</v>
      </c>
      <c r="AT274" s="393" t="e">
        <f t="shared" si="123"/>
        <v>#DIV/0!</v>
      </c>
      <c r="AU274" s="393" t="e">
        <f t="shared" si="124"/>
        <v>#DIV/0!</v>
      </c>
      <c r="AV274" s="393" t="e">
        <f t="shared" si="125"/>
        <v>#DIV/0!</v>
      </c>
      <c r="AW274" s="393" t="e">
        <f t="shared" si="126"/>
        <v>#DIV/0!</v>
      </c>
      <c r="AX274" s="393" t="e">
        <f t="shared" si="127"/>
        <v>#DIV/0!</v>
      </c>
      <c r="AY274" s="393" t="e">
        <f t="shared" si="128"/>
        <v>#DIV/0!</v>
      </c>
      <c r="AZ274" s="393" t="e">
        <f t="shared" si="129"/>
        <v>#DIV/0!</v>
      </c>
      <c r="BA274" s="393" t="e">
        <f t="shared" si="130"/>
        <v>#DIV/0!</v>
      </c>
      <c r="BB274" s="393" t="e">
        <f t="shared" si="131"/>
        <v>#DIV/0!</v>
      </c>
    </row>
    <row r="275" spans="1:54" x14ac:dyDescent="0.25">
      <c r="A275" s="361" t="s">
        <v>1600</v>
      </c>
      <c r="B275" s="480"/>
      <c r="C275" s="480"/>
      <c r="D275" s="480"/>
      <c r="E275" s="480"/>
      <c r="F275" s="480"/>
      <c r="G275" s="480"/>
      <c r="H275" s="480"/>
      <c r="I275" s="480"/>
      <c r="J275" s="480"/>
      <c r="K275" s="480"/>
      <c r="L275" s="480"/>
      <c r="M275" s="480"/>
      <c r="N275" s="480"/>
      <c r="O275" s="480"/>
      <c r="P275" s="480"/>
      <c r="Q275" s="480"/>
      <c r="R275" s="480">
        <f>929/1800</f>
        <v>0.5161</v>
      </c>
      <c r="S275" s="480"/>
      <c r="T275" s="480"/>
      <c r="U275" s="480"/>
      <c r="V275" s="480"/>
      <c r="W275" s="480"/>
      <c r="X275" s="480"/>
      <c r="Y275" s="480"/>
      <c r="Z275" s="480"/>
      <c r="AA275" s="480"/>
      <c r="AB275" s="480"/>
      <c r="AC275" s="393" t="e">
        <f t="shared" si="106"/>
        <v>#DIV/0!</v>
      </c>
      <c r="AD275" s="393" t="e">
        <f t="shared" si="107"/>
        <v>#DIV/0!</v>
      </c>
      <c r="AE275" s="393" t="e">
        <f t="shared" si="108"/>
        <v>#DIV/0!</v>
      </c>
      <c r="AF275" s="393" t="e">
        <f t="shared" si="109"/>
        <v>#DIV/0!</v>
      </c>
      <c r="AG275" s="393" t="e">
        <f t="shared" si="110"/>
        <v>#DIV/0!</v>
      </c>
      <c r="AH275" s="393" t="e">
        <f t="shared" si="111"/>
        <v>#DIV/0!</v>
      </c>
      <c r="AI275" s="393" t="e">
        <f t="shared" si="112"/>
        <v>#DIV/0!</v>
      </c>
      <c r="AJ275" s="393" t="e">
        <f t="shared" si="113"/>
        <v>#DIV/0!</v>
      </c>
      <c r="AK275" s="393" t="e">
        <f t="shared" si="114"/>
        <v>#DIV/0!</v>
      </c>
      <c r="AL275" s="393" t="e">
        <f t="shared" si="115"/>
        <v>#DIV/0!</v>
      </c>
      <c r="AM275" s="393" t="e">
        <f t="shared" si="116"/>
        <v>#DIV/0!</v>
      </c>
      <c r="AN275" s="393" t="e">
        <f t="shared" si="117"/>
        <v>#DIV/0!</v>
      </c>
      <c r="AO275" s="393" t="e">
        <f t="shared" si="118"/>
        <v>#DIV/0!</v>
      </c>
      <c r="AP275" s="393" t="e">
        <f t="shared" si="119"/>
        <v>#DIV/0!</v>
      </c>
      <c r="AQ275" s="393" t="e">
        <f t="shared" si="120"/>
        <v>#DIV/0!</v>
      </c>
      <c r="AR275" s="393" t="e">
        <f t="shared" si="121"/>
        <v>#DIV/0!</v>
      </c>
      <c r="AS275" s="393">
        <f t="shared" si="122"/>
        <v>-100</v>
      </c>
      <c r="AT275" s="393" t="e">
        <f t="shared" si="123"/>
        <v>#DIV/0!</v>
      </c>
      <c r="AU275" s="393" t="e">
        <f t="shared" si="124"/>
        <v>#DIV/0!</v>
      </c>
      <c r="AV275" s="393" t="e">
        <f t="shared" si="125"/>
        <v>#DIV/0!</v>
      </c>
      <c r="AW275" s="393" t="e">
        <f t="shared" si="126"/>
        <v>#DIV/0!</v>
      </c>
      <c r="AX275" s="393" t="e">
        <f t="shared" si="127"/>
        <v>#DIV/0!</v>
      </c>
      <c r="AY275" s="393" t="e">
        <f t="shared" si="128"/>
        <v>#DIV/0!</v>
      </c>
      <c r="AZ275" s="393" t="e">
        <f t="shared" si="129"/>
        <v>#DIV/0!</v>
      </c>
      <c r="BA275" s="393" t="e">
        <f t="shared" si="130"/>
        <v>#DIV/0!</v>
      </c>
      <c r="BB275" s="393" t="e">
        <f t="shared" si="131"/>
        <v>#DIV/0!</v>
      </c>
    </row>
    <row r="276" spans="1:54" x14ac:dyDescent="0.25">
      <c r="A276" s="355" t="s">
        <v>4017</v>
      </c>
      <c r="B276" s="480"/>
      <c r="C276" s="480"/>
      <c r="D276" s="480"/>
      <c r="E276" s="480"/>
      <c r="F276" s="480"/>
      <c r="G276" s="480"/>
      <c r="H276" s="480"/>
      <c r="I276" s="480"/>
      <c r="J276" s="480"/>
      <c r="K276" s="480"/>
      <c r="L276" s="480"/>
      <c r="M276" s="480"/>
      <c r="N276" s="480"/>
      <c r="O276" s="480"/>
      <c r="P276" s="480"/>
      <c r="Q276" s="480"/>
      <c r="R276" s="480"/>
      <c r="S276" s="480"/>
      <c r="T276" s="480">
        <f>795/1200</f>
        <v>0.66249999999999998</v>
      </c>
      <c r="U276" s="480">
        <f>1232/1800</f>
        <v>0.68440000000000001</v>
      </c>
      <c r="V276" s="480"/>
      <c r="W276" s="480">
        <v>0.77500000000000002</v>
      </c>
      <c r="X276" s="480"/>
      <c r="Y276" s="480"/>
      <c r="Z276" s="480"/>
      <c r="AA276" s="480"/>
      <c r="AB276" s="480"/>
      <c r="AC276" s="393" t="e">
        <f t="shared" si="106"/>
        <v>#DIV/0!</v>
      </c>
      <c r="AD276" s="393" t="e">
        <f t="shared" si="107"/>
        <v>#DIV/0!</v>
      </c>
      <c r="AE276" s="393" t="e">
        <f t="shared" si="108"/>
        <v>#DIV/0!</v>
      </c>
      <c r="AF276" s="393" t="e">
        <f t="shared" si="109"/>
        <v>#DIV/0!</v>
      </c>
      <c r="AG276" s="393" t="e">
        <f t="shared" si="110"/>
        <v>#DIV/0!</v>
      </c>
      <c r="AH276" s="393" t="e">
        <f t="shared" si="111"/>
        <v>#DIV/0!</v>
      </c>
      <c r="AI276" s="393" t="e">
        <f t="shared" si="112"/>
        <v>#DIV/0!</v>
      </c>
      <c r="AJ276" s="393" t="e">
        <f t="shared" si="113"/>
        <v>#DIV/0!</v>
      </c>
      <c r="AK276" s="393" t="e">
        <f t="shared" si="114"/>
        <v>#DIV/0!</v>
      </c>
      <c r="AL276" s="393" t="e">
        <f t="shared" si="115"/>
        <v>#DIV/0!</v>
      </c>
      <c r="AM276" s="393" t="e">
        <f t="shared" si="116"/>
        <v>#DIV/0!</v>
      </c>
      <c r="AN276" s="393" t="e">
        <f t="shared" si="117"/>
        <v>#DIV/0!</v>
      </c>
      <c r="AO276" s="393" t="e">
        <f t="shared" si="118"/>
        <v>#DIV/0!</v>
      </c>
      <c r="AP276" s="393" t="e">
        <f t="shared" si="119"/>
        <v>#DIV/0!</v>
      </c>
      <c r="AQ276" s="393" t="e">
        <f t="shared" si="120"/>
        <v>#DIV/0!</v>
      </c>
      <c r="AR276" s="393" t="e">
        <f t="shared" si="121"/>
        <v>#DIV/0!</v>
      </c>
      <c r="AS276" s="393" t="e">
        <f t="shared" si="122"/>
        <v>#DIV/0!</v>
      </c>
      <c r="AT276" s="393" t="e">
        <f t="shared" si="123"/>
        <v>#DIV/0!</v>
      </c>
      <c r="AU276" s="393">
        <f t="shared" si="124"/>
        <v>3.306</v>
      </c>
      <c r="AV276" s="393">
        <f t="shared" si="125"/>
        <v>-100</v>
      </c>
      <c r="AW276" s="393" t="e">
        <f t="shared" si="126"/>
        <v>#DIV/0!</v>
      </c>
      <c r="AX276" s="393">
        <f t="shared" si="127"/>
        <v>-100</v>
      </c>
      <c r="AY276" s="393" t="e">
        <f t="shared" si="128"/>
        <v>#DIV/0!</v>
      </c>
      <c r="AZ276" s="393" t="e">
        <f t="shared" si="129"/>
        <v>#DIV/0!</v>
      </c>
      <c r="BA276" s="393" t="e">
        <f t="shared" si="130"/>
        <v>#DIV/0!</v>
      </c>
      <c r="BB276" s="393" t="e">
        <f t="shared" si="131"/>
        <v>#DIV/0!</v>
      </c>
    </row>
    <row r="277" spans="1:54" x14ac:dyDescent="0.25">
      <c r="A277" s="361" t="s">
        <v>4801</v>
      </c>
      <c r="B277" s="480"/>
      <c r="C277" s="480"/>
      <c r="D277" s="480"/>
      <c r="E277" s="480"/>
      <c r="F277" s="480"/>
      <c r="G277" s="480"/>
      <c r="H277" s="480"/>
      <c r="I277" s="480"/>
      <c r="J277" s="480"/>
      <c r="K277" s="480"/>
      <c r="L277" s="480"/>
      <c r="M277" s="480"/>
      <c r="N277" s="480"/>
      <c r="O277" s="480"/>
      <c r="P277" s="480"/>
      <c r="Q277" s="480"/>
      <c r="R277" s="480"/>
      <c r="S277" s="480"/>
      <c r="T277" s="480"/>
      <c r="U277" s="480"/>
      <c r="V277" s="480"/>
      <c r="W277" s="480"/>
      <c r="X277" s="480"/>
      <c r="Y277" s="480"/>
      <c r="Z277" s="480"/>
      <c r="AA277" s="480"/>
      <c r="AB277" s="480">
        <v>0.72299999999999998</v>
      </c>
      <c r="AC277" s="393" t="e">
        <f t="shared" si="106"/>
        <v>#DIV/0!</v>
      </c>
      <c r="AD277" s="393" t="e">
        <f t="shared" si="107"/>
        <v>#DIV/0!</v>
      </c>
      <c r="AE277" s="393" t="e">
        <f t="shared" si="108"/>
        <v>#DIV/0!</v>
      </c>
      <c r="AF277" s="393" t="e">
        <f t="shared" si="109"/>
        <v>#DIV/0!</v>
      </c>
      <c r="AG277" s="393" t="e">
        <f t="shared" si="110"/>
        <v>#DIV/0!</v>
      </c>
      <c r="AH277" s="393" t="e">
        <f t="shared" si="111"/>
        <v>#DIV/0!</v>
      </c>
      <c r="AI277" s="393" t="e">
        <f t="shared" si="112"/>
        <v>#DIV/0!</v>
      </c>
      <c r="AJ277" s="393" t="e">
        <f t="shared" si="113"/>
        <v>#DIV/0!</v>
      </c>
      <c r="AK277" s="393" t="e">
        <f t="shared" si="114"/>
        <v>#DIV/0!</v>
      </c>
      <c r="AL277" s="393" t="e">
        <f t="shared" si="115"/>
        <v>#DIV/0!</v>
      </c>
      <c r="AM277" s="393" t="e">
        <f t="shared" si="116"/>
        <v>#DIV/0!</v>
      </c>
      <c r="AN277" s="393" t="e">
        <f t="shared" si="117"/>
        <v>#DIV/0!</v>
      </c>
      <c r="AO277" s="393" t="e">
        <f t="shared" si="118"/>
        <v>#DIV/0!</v>
      </c>
      <c r="AP277" s="393" t="e">
        <f t="shared" si="119"/>
        <v>#DIV/0!</v>
      </c>
      <c r="AQ277" s="393" t="e">
        <f t="shared" si="120"/>
        <v>#DIV/0!</v>
      </c>
      <c r="AR277" s="393" t="e">
        <f t="shared" si="121"/>
        <v>#DIV/0!</v>
      </c>
      <c r="AS277" s="393" t="e">
        <f t="shared" si="122"/>
        <v>#DIV/0!</v>
      </c>
      <c r="AT277" s="393" t="e">
        <f t="shared" si="123"/>
        <v>#DIV/0!</v>
      </c>
      <c r="AU277" s="393" t="e">
        <f t="shared" si="124"/>
        <v>#DIV/0!</v>
      </c>
      <c r="AV277" s="393" t="e">
        <f t="shared" si="125"/>
        <v>#DIV/0!</v>
      </c>
      <c r="AW277" s="393" t="e">
        <f t="shared" si="126"/>
        <v>#DIV/0!</v>
      </c>
      <c r="AX277" s="393" t="e">
        <f t="shared" si="127"/>
        <v>#DIV/0!</v>
      </c>
      <c r="AY277" s="393" t="e">
        <f t="shared" si="128"/>
        <v>#DIV/0!</v>
      </c>
      <c r="AZ277" s="393" t="e">
        <f t="shared" si="129"/>
        <v>#DIV/0!</v>
      </c>
      <c r="BA277" s="393" t="e">
        <f t="shared" si="130"/>
        <v>#DIV/0!</v>
      </c>
      <c r="BB277" s="393" t="e">
        <f t="shared" si="131"/>
        <v>#DIV/0!</v>
      </c>
    </row>
    <row r="278" spans="1:54" x14ac:dyDescent="0.25">
      <c r="A278" s="361" t="s">
        <v>1571</v>
      </c>
      <c r="B278" s="480"/>
      <c r="C278" s="480"/>
      <c r="D278" s="480"/>
      <c r="E278" s="480"/>
      <c r="F278" s="480"/>
      <c r="G278" s="480"/>
      <c r="H278" s="480"/>
      <c r="I278" s="480"/>
      <c r="J278" s="480"/>
      <c r="K278" s="480"/>
      <c r="L278" s="480"/>
      <c r="M278" s="480"/>
      <c r="N278" s="480"/>
      <c r="O278" s="480"/>
      <c r="P278" s="480">
        <f>869/1800</f>
        <v>0.48280000000000001</v>
      </c>
      <c r="Q278" s="480"/>
      <c r="R278" s="480"/>
      <c r="S278" s="480"/>
      <c r="T278" s="480"/>
      <c r="U278" s="480"/>
      <c r="V278" s="480"/>
      <c r="W278" s="480"/>
      <c r="X278" s="480"/>
      <c r="Y278" s="480"/>
      <c r="Z278" s="480"/>
      <c r="AA278" s="480"/>
      <c r="AB278" s="480"/>
      <c r="AC278" s="393" t="e">
        <f t="shared" si="106"/>
        <v>#DIV/0!</v>
      </c>
      <c r="AD278" s="393" t="e">
        <f t="shared" si="107"/>
        <v>#DIV/0!</v>
      </c>
      <c r="AE278" s="393" t="e">
        <f t="shared" si="108"/>
        <v>#DIV/0!</v>
      </c>
      <c r="AF278" s="393" t="e">
        <f t="shared" si="109"/>
        <v>#DIV/0!</v>
      </c>
      <c r="AG278" s="393" t="e">
        <f t="shared" si="110"/>
        <v>#DIV/0!</v>
      </c>
      <c r="AH278" s="393" t="e">
        <f t="shared" si="111"/>
        <v>#DIV/0!</v>
      </c>
      <c r="AI278" s="393" t="e">
        <f t="shared" si="112"/>
        <v>#DIV/0!</v>
      </c>
      <c r="AJ278" s="393" t="e">
        <f t="shared" si="113"/>
        <v>#DIV/0!</v>
      </c>
      <c r="AK278" s="393" t="e">
        <f t="shared" si="114"/>
        <v>#DIV/0!</v>
      </c>
      <c r="AL278" s="393" t="e">
        <f t="shared" si="115"/>
        <v>#DIV/0!</v>
      </c>
      <c r="AM278" s="393" t="e">
        <f t="shared" si="116"/>
        <v>#DIV/0!</v>
      </c>
      <c r="AN278" s="393" t="e">
        <f t="shared" si="117"/>
        <v>#DIV/0!</v>
      </c>
      <c r="AO278" s="393" t="e">
        <f t="shared" si="118"/>
        <v>#DIV/0!</v>
      </c>
      <c r="AP278" s="393" t="e">
        <f t="shared" si="119"/>
        <v>#DIV/0!</v>
      </c>
      <c r="AQ278" s="393">
        <f t="shared" si="120"/>
        <v>-100</v>
      </c>
      <c r="AR278" s="393" t="e">
        <f t="shared" si="121"/>
        <v>#DIV/0!</v>
      </c>
      <c r="AS278" s="393" t="e">
        <f t="shared" si="122"/>
        <v>#DIV/0!</v>
      </c>
      <c r="AT278" s="393" t="e">
        <f t="shared" si="123"/>
        <v>#DIV/0!</v>
      </c>
      <c r="AU278" s="393" t="e">
        <f t="shared" si="124"/>
        <v>#DIV/0!</v>
      </c>
      <c r="AV278" s="393" t="e">
        <f t="shared" si="125"/>
        <v>#DIV/0!</v>
      </c>
      <c r="AW278" s="393" t="e">
        <f t="shared" si="126"/>
        <v>#DIV/0!</v>
      </c>
      <c r="AX278" s="393" t="e">
        <f t="shared" si="127"/>
        <v>#DIV/0!</v>
      </c>
      <c r="AY278" s="393" t="e">
        <f t="shared" si="128"/>
        <v>#DIV/0!</v>
      </c>
      <c r="AZ278" s="393" t="e">
        <f t="shared" si="129"/>
        <v>#DIV/0!</v>
      </c>
      <c r="BA278" s="393" t="e">
        <f t="shared" si="130"/>
        <v>#DIV/0!</v>
      </c>
      <c r="BB278" s="393" t="e">
        <f t="shared" si="131"/>
        <v>#DIV/0!</v>
      </c>
    </row>
    <row r="279" spans="1:54" x14ac:dyDescent="0.25">
      <c r="A279" s="361" t="s">
        <v>453</v>
      </c>
      <c r="B279" s="480"/>
      <c r="C279" s="480"/>
      <c r="D279" s="480"/>
      <c r="E279" s="480"/>
      <c r="F279" s="480"/>
      <c r="G279" s="480"/>
      <c r="H279" s="480"/>
      <c r="I279" s="480"/>
      <c r="J279" s="480"/>
      <c r="K279" s="480"/>
      <c r="L279" s="480"/>
      <c r="M279" s="480">
        <f>871/1200</f>
        <v>0.7258</v>
      </c>
      <c r="N279" s="480">
        <f>883/1200</f>
        <v>0.73580000000000001</v>
      </c>
      <c r="O279" s="480"/>
      <c r="P279" s="480"/>
      <c r="Q279" s="480"/>
      <c r="R279" s="480"/>
      <c r="S279" s="480"/>
      <c r="T279" s="480"/>
      <c r="U279" s="480"/>
      <c r="V279" s="480"/>
      <c r="W279" s="480"/>
      <c r="X279" s="480"/>
      <c r="Y279" s="480"/>
      <c r="Z279" s="480"/>
      <c r="AA279" s="480"/>
      <c r="AB279" s="480"/>
      <c r="AC279" s="393" t="e">
        <f t="shared" si="106"/>
        <v>#DIV/0!</v>
      </c>
      <c r="AD279" s="393" t="e">
        <f t="shared" si="107"/>
        <v>#DIV/0!</v>
      </c>
      <c r="AE279" s="393" t="e">
        <f t="shared" si="108"/>
        <v>#DIV/0!</v>
      </c>
      <c r="AF279" s="393" t="e">
        <f t="shared" si="109"/>
        <v>#DIV/0!</v>
      </c>
      <c r="AG279" s="393" t="e">
        <f t="shared" si="110"/>
        <v>#DIV/0!</v>
      </c>
      <c r="AH279" s="393" t="e">
        <f t="shared" si="111"/>
        <v>#DIV/0!</v>
      </c>
      <c r="AI279" s="393" t="e">
        <f t="shared" si="112"/>
        <v>#DIV/0!</v>
      </c>
      <c r="AJ279" s="393" t="e">
        <f t="shared" si="113"/>
        <v>#DIV/0!</v>
      </c>
      <c r="AK279" s="393" t="e">
        <f t="shared" si="114"/>
        <v>#DIV/0!</v>
      </c>
      <c r="AL279" s="393" t="e">
        <f t="shared" si="115"/>
        <v>#DIV/0!</v>
      </c>
      <c r="AM279" s="393" t="e">
        <f t="shared" si="116"/>
        <v>#DIV/0!</v>
      </c>
      <c r="AN279" s="393">
        <f t="shared" si="117"/>
        <v>1.3779999999999999</v>
      </c>
      <c r="AO279" s="393">
        <f t="shared" si="118"/>
        <v>-100</v>
      </c>
      <c r="AP279" s="393" t="e">
        <f t="shared" si="119"/>
        <v>#DIV/0!</v>
      </c>
      <c r="AQ279" s="393" t="e">
        <f t="shared" si="120"/>
        <v>#DIV/0!</v>
      </c>
      <c r="AR279" s="393" t="e">
        <f t="shared" si="121"/>
        <v>#DIV/0!</v>
      </c>
      <c r="AS279" s="393" t="e">
        <f t="shared" si="122"/>
        <v>#DIV/0!</v>
      </c>
      <c r="AT279" s="393" t="e">
        <f t="shared" si="123"/>
        <v>#DIV/0!</v>
      </c>
      <c r="AU279" s="393" t="e">
        <f t="shared" si="124"/>
        <v>#DIV/0!</v>
      </c>
      <c r="AV279" s="393" t="e">
        <f t="shared" si="125"/>
        <v>#DIV/0!</v>
      </c>
      <c r="AW279" s="393" t="e">
        <f t="shared" si="126"/>
        <v>#DIV/0!</v>
      </c>
      <c r="AX279" s="393" t="e">
        <f t="shared" si="127"/>
        <v>#DIV/0!</v>
      </c>
      <c r="AY279" s="393" t="e">
        <f t="shared" si="128"/>
        <v>#DIV/0!</v>
      </c>
      <c r="AZ279" s="393" t="e">
        <f t="shared" si="129"/>
        <v>#DIV/0!</v>
      </c>
      <c r="BA279" s="393" t="e">
        <f t="shared" si="130"/>
        <v>#DIV/0!</v>
      </c>
      <c r="BB279" s="393" t="e">
        <f t="shared" si="131"/>
        <v>#DIV/0!</v>
      </c>
    </row>
    <row r="280" spans="1:54" x14ac:dyDescent="0.25">
      <c r="A280" s="361" t="s">
        <v>1389</v>
      </c>
      <c r="B280" s="480">
        <f>951/1800</f>
        <v>0.52829999999999999</v>
      </c>
      <c r="C280" s="480"/>
      <c r="D280" s="480"/>
      <c r="E280" s="480"/>
      <c r="F280" s="480"/>
      <c r="G280" s="480"/>
      <c r="H280" s="480"/>
      <c r="I280" s="480"/>
      <c r="J280" s="480"/>
      <c r="K280" s="480"/>
      <c r="L280" s="480"/>
      <c r="M280" s="480"/>
      <c r="N280" s="480"/>
      <c r="O280" s="480"/>
      <c r="P280" s="480"/>
      <c r="Q280" s="480"/>
      <c r="R280" s="480"/>
      <c r="S280" s="480"/>
      <c r="T280" s="480"/>
      <c r="U280" s="480"/>
      <c r="V280" s="480"/>
      <c r="W280" s="480"/>
      <c r="X280" s="480"/>
      <c r="Y280" s="480"/>
      <c r="Z280" s="480"/>
      <c r="AA280" s="480"/>
      <c r="AB280" s="480"/>
      <c r="AC280" s="393">
        <f t="shared" si="106"/>
        <v>-100</v>
      </c>
      <c r="AD280" s="393" t="e">
        <f t="shared" si="107"/>
        <v>#DIV/0!</v>
      </c>
      <c r="AE280" s="393" t="e">
        <f t="shared" si="108"/>
        <v>#DIV/0!</v>
      </c>
      <c r="AF280" s="393" t="e">
        <f t="shared" si="109"/>
        <v>#DIV/0!</v>
      </c>
      <c r="AG280" s="393" t="e">
        <f t="shared" si="110"/>
        <v>#DIV/0!</v>
      </c>
      <c r="AH280" s="393" t="e">
        <f t="shared" si="111"/>
        <v>#DIV/0!</v>
      </c>
      <c r="AI280" s="393" t="e">
        <f t="shared" si="112"/>
        <v>#DIV/0!</v>
      </c>
      <c r="AJ280" s="393" t="e">
        <f t="shared" si="113"/>
        <v>#DIV/0!</v>
      </c>
      <c r="AK280" s="393" t="e">
        <f t="shared" si="114"/>
        <v>#DIV/0!</v>
      </c>
      <c r="AL280" s="393" t="e">
        <f t="shared" si="115"/>
        <v>#DIV/0!</v>
      </c>
      <c r="AM280" s="393" t="e">
        <f t="shared" si="116"/>
        <v>#DIV/0!</v>
      </c>
      <c r="AN280" s="393" t="e">
        <f t="shared" si="117"/>
        <v>#DIV/0!</v>
      </c>
      <c r="AO280" s="393" t="e">
        <f t="shared" si="118"/>
        <v>#DIV/0!</v>
      </c>
      <c r="AP280" s="393" t="e">
        <f t="shared" si="119"/>
        <v>#DIV/0!</v>
      </c>
      <c r="AQ280" s="393" t="e">
        <f t="shared" si="120"/>
        <v>#DIV/0!</v>
      </c>
      <c r="AR280" s="393" t="e">
        <f t="shared" si="121"/>
        <v>#DIV/0!</v>
      </c>
      <c r="AS280" s="393" t="e">
        <f t="shared" si="122"/>
        <v>#DIV/0!</v>
      </c>
      <c r="AT280" s="393" t="e">
        <f t="shared" si="123"/>
        <v>#DIV/0!</v>
      </c>
      <c r="AU280" s="393" t="e">
        <f t="shared" si="124"/>
        <v>#DIV/0!</v>
      </c>
      <c r="AV280" s="393" t="e">
        <f t="shared" si="125"/>
        <v>#DIV/0!</v>
      </c>
      <c r="AW280" s="393" t="e">
        <f t="shared" si="126"/>
        <v>#DIV/0!</v>
      </c>
      <c r="AX280" s="393" t="e">
        <f t="shared" si="127"/>
        <v>#DIV/0!</v>
      </c>
      <c r="AY280" s="393" t="e">
        <f t="shared" si="128"/>
        <v>#DIV/0!</v>
      </c>
      <c r="AZ280" s="393" t="e">
        <f t="shared" si="129"/>
        <v>#DIV/0!</v>
      </c>
      <c r="BA280" s="393" t="e">
        <f t="shared" si="130"/>
        <v>#DIV/0!</v>
      </c>
      <c r="BB280" s="393" t="e">
        <f t="shared" si="131"/>
        <v>#DIV/0!</v>
      </c>
    </row>
    <row r="281" spans="1:54" x14ac:dyDescent="0.25">
      <c r="A281" s="565" t="s">
        <v>4342</v>
      </c>
      <c r="B281" s="480"/>
      <c r="C281" s="480"/>
      <c r="D281" s="480"/>
      <c r="E281" s="480"/>
      <c r="F281" s="480"/>
      <c r="G281" s="480"/>
      <c r="H281" s="480"/>
      <c r="I281" s="480"/>
      <c r="J281" s="480"/>
      <c r="K281" s="480"/>
      <c r="L281" s="480"/>
      <c r="M281" s="480"/>
      <c r="N281" s="480"/>
      <c r="O281" s="480"/>
      <c r="P281" s="480"/>
      <c r="Q281" s="480"/>
      <c r="R281" s="480"/>
      <c r="S281" s="480"/>
      <c r="T281" s="480"/>
      <c r="U281" s="480"/>
      <c r="V281" s="480"/>
      <c r="W281" s="480"/>
      <c r="X281" s="480"/>
      <c r="Y281" s="480">
        <f>1182/1800</f>
        <v>0.65669999999999995</v>
      </c>
      <c r="Z281" s="480"/>
      <c r="AA281" s="480"/>
      <c r="AB281" s="480"/>
      <c r="AC281" s="393" t="e">
        <f t="shared" si="106"/>
        <v>#DIV/0!</v>
      </c>
      <c r="AD281" s="393" t="e">
        <f t="shared" si="107"/>
        <v>#DIV/0!</v>
      </c>
      <c r="AE281" s="393" t="e">
        <f t="shared" si="108"/>
        <v>#DIV/0!</v>
      </c>
      <c r="AF281" s="393" t="e">
        <f t="shared" si="109"/>
        <v>#DIV/0!</v>
      </c>
      <c r="AG281" s="393" t="e">
        <f t="shared" si="110"/>
        <v>#DIV/0!</v>
      </c>
      <c r="AH281" s="393" t="e">
        <f t="shared" si="111"/>
        <v>#DIV/0!</v>
      </c>
      <c r="AI281" s="393" t="e">
        <f t="shared" si="112"/>
        <v>#DIV/0!</v>
      </c>
      <c r="AJ281" s="393" t="e">
        <f t="shared" si="113"/>
        <v>#DIV/0!</v>
      </c>
      <c r="AK281" s="393" t="e">
        <f t="shared" si="114"/>
        <v>#DIV/0!</v>
      </c>
      <c r="AL281" s="393" t="e">
        <f t="shared" si="115"/>
        <v>#DIV/0!</v>
      </c>
      <c r="AM281" s="393" t="e">
        <f t="shared" si="116"/>
        <v>#DIV/0!</v>
      </c>
      <c r="AN281" s="393" t="e">
        <f t="shared" si="117"/>
        <v>#DIV/0!</v>
      </c>
      <c r="AO281" s="393" t="e">
        <f t="shared" si="118"/>
        <v>#DIV/0!</v>
      </c>
      <c r="AP281" s="393" t="e">
        <f t="shared" si="119"/>
        <v>#DIV/0!</v>
      </c>
      <c r="AQ281" s="393" t="e">
        <f t="shared" si="120"/>
        <v>#DIV/0!</v>
      </c>
      <c r="AR281" s="393" t="e">
        <f t="shared" si="121"/>
        <v>#DIV/0!</v>
      </c>
      <c r="AS281" s="393" t="e">
        <f t="shared" si="122"/>
        <v>#DIV/0!</v>
      </c>
      <c r="AT281" s="393" t="e">
        <f t="shared" si="123"/>
        <v>#DIV/0!</v>
      </c>
      <c r="AU281" s="393" t="e">
        <f t="shared" si="124"/>
        <v>#DIV/0!</v>
      </c>
      <c r="AV281" s="393" t="e">
        <f t="shared" si="125"/>
        <v>#DIV/0!</v>
      </c>
      <c r="AW281" s="393" t="e">
        <f t="shared" si="126"/>
        <v>#DIV/0!</v>
      </c>
      <c r="AX281" s="393" t="e">
        <f t="shared" si="127"/>
        <v>#DIV/0!</v>
      </c>
      <c r="AY281" s="393" t="e">
        <f t="shared" si="128"/>
        <v>#DIV/0!</v>
      </c>
      <c r="AZ281" s="393">
        <f t="shared" si="129"/>
        <v>-100</v>
      </c>
      <c r="BA281" s="393" t="e">
        <f t="shared" si="130"/>
        <v>#DIV/0!</v>
      </c>
      <c r="BB281" s="393" t="e">
        <f t="shared" si="131"/>
        <v>#DIV/0!</v>
      </c>
    </row>
    <row r="282" spans="1:54" x14ac:dyDescent="0.25">
      <c r="A282" s="565" t="s">
        <v>3105</v>
      </c>
      <c r="B282" s="480">
        <f>807/1800</f>
        <v>0.44829999999999998</v>
      </c>
      <c r="C282" s="480"/>
      <c r="D282" s="480"/>
      <c r="E282" s="480"/>
      <c r="F282" s="480"/>
      <c r="G282" s="480"/>
      <c r="H282" s="480"/>
      <c r="I282" s="480"/>
      <c r="J282" s="480"/>
      <c r="K282" s="480"/>
      <c r="L282" s="480"/>
      <c r="M282" s="480"/>
      <c r="N282" s="480"/>
      <c r="O282" s="480"/>
      <c r="P282" s="480"/>
      <c r="Q282" s="480"/>
      <c r="R282" s="480"/>
      <c r="S282" s="480"/>
      <c r="T282" s="480"/>
      <c r="U282" s="480"/>
      <c r="V282" s="480"/>
      <c r="W282" s="480"/>
      <c r="X282" s="480"/>
      <c r="Y282" s="480"/>
      <c r="Z282" s="480"/>
      <c r="AA282" s="480"/>
      <c r="AB282" s="480"/>
      <c r="AC282" s="393">
        <f t="shared" si="106"/>
        <v>-100</v>
      </c>
      <c r="AD282" s="393" t="e">
        <f t="shared" si="107"/>
        <v>#DIV/0!</v>
      </c>
      <c r="AE282" s="393" t="e">
        <f t="shared" si="108"/>
        <v>#DIV/0!</v>
      </c>
      <c r="AF282" s="393" t="e">
        <f t="shared" si="109"/>
        <v>#DIV/0!</v>
      </c>
      <c r="AG282" s="393" t="e">
        <f t="shared" si="110"/>
        <v>#DIV/0!</v>
      </c>
      <c r="AH282" s="393" t="e">
        <f t="shared" si="111"/>
        <v>#DIV/0!</v>
      </c>
      <c r="AI282" s="393" t="e">
        <f t="shared" si="112"/>
        <v>#DIV/0!</v>
      </c>
      <c r="AJ282" s="393" t="e">
        <f t="shared" si="113"/>
        <v>#DIV/0!</v>
      </c>
      <c r="AK282" s="393" t="e">
        <f t="shared" si="114"/>
        <v>#DIV/0!</v>
      </c>
      <c r="AL282" s="393" t="e">
        <f t="shared" si="115"/>
        <v>#DIV/0!</v>
      </c>
      <c r="AM282" s="393" t="e">
        <f t="shared" si="116"/>
        <v>#DIV/0!</v>
      </c>
      <c r="AN282" s="393" t="e">
        <f t="shared" si="117"/>
        <v>#DIV/0!</v>
      </c>
      <c r="AO282" s="393" t="e">
        <f t="shared" si="118"/>
        <v>#DIV/0!</v>
      </c>
      <c r="AP282" s="393" t="e">
        <f t="shared" si="119"/>
        <v>#DIV/0!</v>
      </c>
      <c r="AQ282" s="393" t="e">
        <f t="shared" si="120"/>
        <v>#DIV/0!</v>
      </c>
      <c r="AR282" s="393" t="e">
        <f t="shared" si="121"/>
        <v>#DIV/0!</v>
      </c>
      <c r="AS282" s="393" t="e">
        <f t="shared" si="122"/>
        <v>#DIV/0!</v>
      </c>
      <c r="AT282" s="393" t="e">
        <f t="shared" si="123"/>
        <v>#DIV/0!</v>
      </c>
      <c r="AU282" s="393" t="e">
        <f t="shared" si="124"/>
        <v>#DIV/0!</v>
      </c>
      <c r="AV282" s="393" t="e">
        <f t="shared" si="125"/>
        <v>#DIV/0!</v>
      </c>
      <c r="AW282" s="393" t="e">
        <f t="shared" si="126"/>
        <v>#DIV/0!</v>
      </c>
      <c r="AX282" s="393" t="e">
        <f t="shared" si="127"/>
        <v>#DIV/0!</v>
      </c>
      <c r="AY282" s="393" t="e">
        <f t="shared" si="128"/>
        <v>#DIV/0!</v>
      </c>
      <c r="AZ282" s="393" t="e">
        <f t="shared" si="129"/>
        <v>#DIV/0!</v>
      </c>
      <c r="BA282" s="393" t="e">
        <f t="shared" si="130"/>
        <v>#DIV/0!</v>
      </c>
      <c r="BB282" s="393" t="e">
        <f t="shared" si="131"/>
        <v>#DIV/0!</v>
      </c>
    </row>
    <row r="283" spans="1:54" x14ac:dyDescent="0.25">
      <c r="A283" s="361" t="s">
        <v>1582</v>
      </c>
      <c r="B283" s="480"/>
      <c r="C283" s="480"/>
      <c r="D283" s="480"/>
      <c r="E283" s="480"/>
      <c r="F283" s="480"/>
      <c r="G283" s="480"/>
      <c r="H283" s="480"/>
      <c r="I283" s="480"/>
      <c r="J283" s="480"/>
      <c r="K283" s="480"/>
      <c r="L283" s="480"/>
      <c r="M283" s="480"/>
      <c r="N283" s="480"/>
      <c r="O283" s="480"/>
      <c r="P283" s="480"/>
      <c r="Q283" s="480">
        <f>762/1800</f>
        <v>0.42330000000000001</v>
      </c>
      <c r="R283" s="480">
        <f>1027/1800</f>
        <v>0.5706</v>
      </c>
      <c r="S283" s="480">
        <f>1001/1800</f>
        <v>0.55610000000000004</v>
      </c>
      <c r="T283" s="480"/>
      <c r="U283" s="480"/>
      <c r="V283" s="480"/>
      <c r="W283" s="480"/>
      <c r="X283" s="480"/>
      <c r="Y283" s="480"/>
      <c r="Z283" s="480"/>
      <c r="AA283" s="480"/>
      <c r="AB283" s="480"/>
      <c r="AC283" s="393" t="e">
        <f t="shared" si="106"/>
        <v>#DIV/0!</v>
      </c>
      <c r="AD283" s="393" t="e">
        <f t="shared" si="107"/>
        <v>#DIV/0!</v>
      </c>
      <c r="AE283" s="393" t="e">
        <f t="shared" si="108"/>
        <v>#DIV/0!</v>
      </c>
      <c r="AF283" s="393" t="e">
        <f t="shared" si="109"/>
        <v>#DIV/0!</v>
      </c>
      <c r="AG283" s="393" t="e">
        <f t="shared" si="110"/>
        <v>#DIV/0!</v>
      </c>
      <c r="AH283" s="393" t="e">
        <f t="shared" si="111"/>
        <v>#DIV/0!</v>
      </c>
      <c r="AI283" s="393" t="e">
        <f t="shared" si="112"/>
        <v>#DIV/0!</v>
      </c>
      <c r="AJ283" s="393" t="e">
        <f t="shared" si="113"/>
        <v>#DIV/0!</v>
      </c>
      <c r="AK283" s="393" t="e">
        <f t="shared" si="114"/>
        <v>#DIV/0!</v>
      </c>
      <c r="AL283" s="393" t="e">
        <f t="shared" si="115"/>
        <v>#DIV/0!</v>
      </c>
      <c r="AM283" s="393" t="e">
        <f t="shared" si="116"/>
        <v>#DIV/0!</v>
      </c>
      <c r="AN283" s="393" t="e">
        <f t="shared" si="117"/>
        <v>#DIV/0!</v>
      </c>
      <c r="AO283" s="393" t="e">
        <f t="shared" si="118"/>
        <v>#DIV/0!</v>
      </c>
      <c r="AP283" s="393" t="e">
        <f t="shared" si="119"/>
        <v>#DIV/0!</v>
      </c>
      <c r="AQ283" s="393" t="e">
        <f t="shared" si="120"/>
        <v>#DIV/0!</v>
      </c>
      <c r="AR283" s="393">
        <f t="shared" si="121"/>
        <v>34.798000000000002</v>
      </c>
      <c r="AS283" s="393">
        <f t="shared" si="122"/>
        <v>-2.5409999999999999</v>
      </c>
      <c r="AT283" s="393">
        <f t="shared" si="123"/>
        <v>-100</v>
      </c>
      <c r="AU283" s="393" t="e">
        <f t="shared" si="124"/>
        <v>#DIV/0!</v>
      </c>
      <c r="AV283" s="393" t="e">
        <f t="shared" si="125"/>
        <v>#DIV/0!</v>
      </c>
      <c r="AW283" s="393" t="e">
        <f t="shared" si="126"/>
        <v>#DIV/0!</v>
      </c>
      <c r="AX283" s="393" t="e">
        <f t="shared" si="127"/>
        <v>#DIV/0!</v>
      </c>
      <c r="AY283" s="393" t="e">
        <f t="shared" si="128"/>
        <v>#DIV/0!</v>
      </c>
      <c r="AZ283" s="393" t="e">
        <f t="shared" si="129"/>
        <v>#DIV/0!</v>
      </c>
      <c r="BA283" s="393" t="e">
        <f t="shared" si="130"/>
        <v>#DIV/0!</v>
      </c>
      <c r="BB283" s="393" t="e">
        <f t="shared" si="131"/>
        <v>#DIV/0!</v>
      </c>
    </row>
    <row r="284" spans="1:54" x14ac:dyDescent="0.25">
      <c r="A284" s="355" t="s">
        <v>2857</v>
      </c>
      <c r="B284" s="480"/>
      <c r="C284" s="480"/>
      <c r="D284" s="480"/>
      <c r="E284" s="480"/>
      <c r="F284" s="480"/>
      <c r="G284" s="480"/>
      <c r="H284" s="480"/>
      <c r="I284" s="480"/>
      <c r="J284" s="480"/>
      <c r="K284" s="480"/>
      <c r="L284" s="480"/>
      <c r="M284" s="480"/>
      <c r="N284" s="480"/>
      <c r="O284" s="480"/>
      <c r="P284" s="480"/>
      <c r="Q284" s="480"/>
      <c r="R284" s="480"/>
      <c r="S284" s="480"/>
      <c r="T284" s="480"/>
      <c r="U284" s="480"/>
      <c r="V284" s="480">
        <f>917/1200</f>
        <v>0.76419999999999999</v>
      </c>
      <c r="W284" s="480">
        <f>932/1200</f>
        <v>0.77669999999999995</v>
      </c>
      <c r="X284" s="480"/>
      <c r="Y284" s="480">
        <f>1418/1800</f>
        <v>0.78779999999999994</v>
      </c>
      <c r="Z284" s="480"/>
      <c r="AA284" s="480"/>
      <c r="AB284" s="480"/>
      <c r="AC284" s="393" t="e">
        <f t="shared" si="106"/>
        <v>#DIV/0!</v>
      </c>
      <c r="AD284" s="393" t="e">
        <f t="shared" si="107"/>
        <v>#DIV/0!</v>
      </c>
      <c r="AE284" s="393" t="e">
        <f t="shared" si="108"/>
        <v>#DIV/0!</v>
      </c>
      <c r="AF284" s="393" t="e">
        <f t="shared" si="109"/>
        <v>#DIV/0!</v>
      </c>
      <c r="AG284" s="393" t="e">
        <f t="shared" si="110"/>
        <v>#DIV/0!</v>
      </c>
      <c r="AH284" s="393" t="e">
        <f t="shared" si="111"/>
        <v>#DIV/0!</v>
      </c>
      <c r="AI284" s="393" t="e">
        <f t="shared" si="112"/>
        <v>#DIV/0!</v>
      </c>
      <c r="AJ284" s="393" t="e">
        <f t="shared" si="113"/>
        <v>#DIV/0!</v>
      </c>
      <c r="AK284" s="393" t="e">
        <f t="shared" si="114"/>
        <v>#DIV/0!</v>
      </c>
      <c r="AL284" s="393" t="e">
        <f t="shared" si="115"/>
        <v>#DIV/0!</v>
      </c>
      <c r="AM284" s="393" t="e">
        <f t="shared" si="116"/>
        <v>#DIV/0!</v>
      </c>
      <c r="AN284" s="393" t="e">
        <f t="shared" si="117"/>
        <v>#DIV/0!</v>
      </c>
      <c r="AO284" s="393" t="e">
        <f t="shared" si="118"/>
        <v>#DIV/0!</v>
      </c>
      <c r="AP284" s="393" t="e">
        <f t="shared" si="119"/>
        <v>#DIV/0!</v>
      </c>
      <c r="AQ284" s="393" t="e">
        <f t="shared" si="120"/>
        <v>#DIV/0!</v>
      </c>
      <c r="AR284" s="393" t="e">
        <f t="shared" si="121"/>
        <v>#DIV/0!</v>
      </c>
      <c r="AS284" s="393" t="e">
        <f t="shared" si="122"/>
        <v>#DIV/0!</v>
      </c>
      <c r="AT284" s="393" t="e">
        <f t="shared" si="123"/>
        <v>#DIV/0!</v>
      </c>
      <c r="AU284" s="393" t="e">
        <f t="shared" si="124"/>
        <v>#DIV/0!</v>
      </c>
      <c r="AV284" s="393" t="e">
        <f t="shared" si="125"/>
        <v>#DIV/0!</v>
      </c>
      <c r="AW284" s="393">
        <f t="shared" si="126"/>
        <v>1.6359999999999999</v>
      </c>
      <c r="AX284" s="393">
        <f t="shared" si="127"/>
        <v>-100</v>
      </c>
      <c r="AY284" s="393" t="e">
        <f t="shared" si="128"/>
        <v>#DIV/0!</v>
      </c>
      <c r="AZ284" s="393">
        <f t="shared" si="129"/>
        <v>-100</v>
      </c>
      <c r="BA284" s="393" t="e">
        <f t="shared" si="130"/>
        <v>#DIV/0!</v>
      </c>
      <c r="BB284" s="393" t="e">
        <f t="shared" si="131"/>
        <v>#DIV/0!</v>
      </c>
    </row>
    <row r="285" spans="1:54" x14ac:dyDescent="0.25">
      <c r="A285" s="361" t="s">
        <v>1553</v>
      </c>
      <c r="B285" s="480"/>
      <c r="C285" s="480"/>
      <c r="D285" s="480"/>
      <c r="E285" s="480"/>
      <c r="F285" s="480"/>
      <c r="G285" s="480"/>
      <c r="H285" s="480"/>
      <c r="I285" s="480"/>
      <c r="J285" s="480"/>
      <c r="K285" s="480"/>
      <c r="L285" s="480"/>
      <c r="M285" s="480"/>
      <c r="N285" s="480">
        <f>698/1200</f>
        <v>0.58169999999999999</v>
      </c>
      <c r="O285" s="480"/>
      <c r="P285" s="480"/>
      <c r="Q285" s="480"/>
      <c r="R285" s="480"/>
      <c r="S285" s="480"/>
      <c r="T285" s="480"/>
      <c r="U285" s="480"/>
      <c r="V285" s="480"/>
      <c r="W285" s="480"/>
      <c r="X285" s="480"/>
      <c r="Y285" s="480"/>
      <c r="Z285" s="480"/>
      <c r="AA285" s="480"/>
      <c r="AB285" s="480"/>
      <c r="AC285" s="393" t="e">
        <f t="shared" si="106"/>
        <v>#DIV/0!</v>
      </c>
      <c r="AD285" s="393" t="e">
        <f t="shared" si="107"/>
        <v>#DIV/0!</v>
      </c>
      <c r="AE285" s="393" t="e">
        <f t="shared" si="108"/>
        <v>#DIV/0!</v>
      </c>
      <c r="AF285" s="393" t="e">
        <f t="shared" si="109"/>
        <v>#DIV/0!</v>
      </c>
      <c r="AG285" s="393" t="e">
        <f t="shared" si="110"/>
        <v>#DIV/0!</v>
      </c>
      <c r="AH285" s="393" t="e">
        <f t="shared" si="111"/>
        <v>#DIV/0!</v>
      </c>
      <c r="AI285" s="393" t="e">
        <f t="shared" si="112"/>
        <v>#DIV/0!</v>
      </c>
      <c r="AJ285" s="393" t="e">
        <f t="shared" si="113"/>
        <v>#DIV/0!</v>
      </c>
      <c r="AK285" s="393" t="e">
        <f t="shared" si="114"/>
        <v>#DIV/0!</v>
      </c>
      <c r="AL285" s="393" t="e">
        <f t="shared" si="115"/>
        <v>#DIV/0!</v>
      </c>
      <c r="AM285" s="393" t="e">
        <f t="shared" si="116"/>
        <v>#DIV/0!</v>
      </c>
      <c r="AN285" s="393" t="e">
        <f t="shared" si="117"/>
        <v>#DIV/0!</v>
      </c>
      <c r="AO285" s="393">
        <f t="shared" si="118"/>
        <v>-100</v>
      </c>
      <c r="AP285" s="393" t="e">
        <f t="shared" si="119"/>
        <v>#DIV/0!</v>
      </c>
      <c r="AQ285" s="393" t="e">
        <f t="shared" si="120"/>
        <v>#DIV/0!</v>
      </c>
      <c r="AR285" s="393" t="e">
        <f t="shared" si="121"/>
        <v>#DIV/0!</v>
      </c>
      <c r="AS285" s="393" t="e">
        <f t="shared" si="122"/>
        <v>#DIV/0!</v>
      </c>
      <c r="AT285" s="393" t="e">
        <f t="shared" si="123"/>
        <v>#DIV/0!</v>
      </c>
      <c r="AU285" s="393" t="e">
        <f t="shared" si="124"/>
        <v>#DIV/0!</v>
      </c>
      <c r="AV285" s="393" t="e">
        <f t="shared" si="125"/>
        <v>#DIV/0!</v>
      </c>
      <c r="AW285" s="393" t="e">
        <f t="shared" si="126"/>
        <v>#DIV/0!</v>
      </c>
      <c r="AX285" s="393" t="e">
        <f t="shared" si="127"/>
        <v>#DIV/0!</v>
      </c>
      <c r="AY285" s="393" t="e">
        <f t="shared" si="128"/>
        <v>#DIV/0!</v>
      </c>
      <c r="AZ285" s="393" t="e">
        <f t="shared" si="129"/>
        <v>#DIV/0!</v>
      </c>
      <c r="BA285" s="393" t="e">
        <f t="shared" si="130"/>
        <v>#DIV/0!</v>
      </c>
      <c r="BB285" s="393" t="e">
        <f t="shared" si="131"/>
        <v>#DIV/0!</v>
      </c>
    </row>
    <row r="286" spans="1:54" x14ac:dyDescent="0.25">
      <c r="A286" s="361" t="s">
        <v>2752</v>
      </c>
      <c r="B286" s="480"/>
      <c r="C286" s="480"/>
      <c r="D286" s="480"/>
      <c r="E286" s="480"/>
      <c r="F286" s="480"/>
      <c r="G286" s="480"/>
      <c r="H286" s="480"/>
      <c r="I286" s="480">
        <f>846/1200</f>
        <v>0.70499999999999996</v>
      </c>
      <c r="J286" s="480">
        <f>864/1200</f>
        <v>0.72</v>
      </c>
      <c r="K286" s="480">
        <f>842/1200</f>
        <v>0.70169999999999999</v>
      </c>
      <c r="L286" s="480">
        <f>867/1200</f>
        <v>0.72250000000000003</v>
      </c>
      <c r="M286" s="480"/>
      <c r="N286" s="480"/>
      <c r="O286" s="480"/>
      <c r="P286" s="480"/>
      <c r="Q286" s="480"/>
      <c r="R286" s="480"/>
      <c r="S286" s="480"/>
      <c r="T286" s="480"/>
      <c r="U286" s="480"/>
      <c r="V286" s="481"/>
      <c r="W286" s="481"/>
      <c r="X286" s="481"/>
      <c r="Y286" s="481"/>
      <c r="Z286" s="481"/>
      <c r="AA286" s="481"/>
      <c r="AB286" s="481"/>
      <c r="AC286" s="393" t="e">
        <f t="shared" si="106"/>
        <v>#DIV/0!</v>
      </c>
      <c r="AD286" s="393" t="e">
        <f t="shared" si="107"/>
        <v>#DIV/0!</v>
      </c>
      <c r="AE286" s="393" t="e">
        <f t="shared" si="108"/>
        <v>#DIV/0!</v>
      </c>
      <c r="AF286" s="393" t="e">
        <f t="shared" si="109"/>
        <v>#DIV/0!</v>
      </c>
      <c r="AG286" s="393" t="e">
        <f t="shared" si="110"/>
        <v>#DIV/0!</v>
      </c>
      <c r="AH286" s="393" t="e">
        <f t="shared" si="111"/>
        <v>#DIV/0!</v>
      </c>
      <c r="AI286" s="393" t="e">
        <f t="shared" si="112"/>
        <v>#DIV/0!</v>
      </c>
      <c r="AJ286" s="393">
        <f t="shared" si="113"/>
        <v>2.1280000000000001</v>
      </c>
      <c r="AK286" s="393">
        <f t="shared" si="114"/>
        <v>-2.5419999999999998</v>
      </c>
      <c r="AL286" s="393">
        <f t="shared" si="115"/>
        <v>2.964</v>
      </c>
      <c r="AM286" s="393">
        <f t="shared" si="116"/>
        <v>-100</v>
      </c>
      <c r="AN286" s="393" t="e">
        <f t="shared" si="117"/>
        <v>#DIV/0!</v>
      </c>
      <c r="AO286" s="393" t="e">
        <f t="shared" si="118"/>
        <v>#DIV/0!</v>
      </c>
      <c r="AP286" s="393" t="e">
        <f t="shared" si="119"/>
        <v>#DIV/0!</v>
      </c>
      <c r="AQ286" s="393" t="e">
        <f t="shared" si="120"/>
        <v>#DIV/0!</v>
      </c>
      <c r="AR286" s="393" t="e">
        <f t="shared" si="121"/>
        <v>#DIV/0!</v>
      </c>
      <c r="AS286" s="393" t="e">
        <f t="shared" si="122"/>
        <v>#DIV/0!</v>
      </c>
      <c r="AT286" s="393" t="e">
        <f t="shared" si="123"/>
        <v>#DIV/0!</v>
      </c>
      <c r="AU286" s="393" t="e">
        <f t="shared" si="124"/>
        <v>#DIV/0!</v>
      </c>
      <c r="AV286" s="393" t="e">
        <f t="shared" si="125"/>
        <v>#DIV/0!</v>
      </c>
      <c r="AW286" s="393" t="e">
        <f t="shared" si="126"/>
        <v>#DIV/0!</v>
      </c>
      <c r="AX286" s="393" t="e">
        <f t="shared" si="127"/>
        <v>#DIV/0!</v>
      </c>
      <c r="AY286" s="393" t="e">
        <f t="shared" si="128"/>
        <v>#DIV/0!</v>
      </c>
      <c r="AZ286" s="393" t="e">
        <f t="shared" si="129"/>
        <v>#DIV/0!</v>
      </c>
      <c r="BA286" s="393" t="e">
        <f t="shared" si="130"/>
        <v>#DIV/0!</v>
      </c>
      <c r="BB286" s="393" t="e">
        <f t="shared" si="131"/>
        <v>#DIV/0!</v>
      </c>
    </row>
    <row r="287" spans="1:54" x14ac:dyDescent="0.25">
      <c r="A287" s="361" t="s">
        <v>915</v>
      </c>
      <c r="B287" s="480"/>
      <c r="C287" s="480"/>
      <c r="D287" s="480"/>
      <c r="E287" s="480"/>
      <c r="F287" s="480"/>
      <c r="G287" s="480"/>
      <c r="H287" s="480"/>
      <c r="I287" s="480"/>
      <c r="J287" s="480"/>
      <c r="K287" s="480"/>
      <c r="L287" s="480"/>
      <c r="M287" s="480"/>
      <c r="N287" s="480"/>
      <c r="O287" s="480"/>
      <c r="P287" s="480"/>
      <c r="Q287" s="480"/>
      <c r="R287" s="480"/>
      <c r="S287" s="480"/>
      <c r="T287" s="480"/>
      <c r="U287" s="480"/>
      <c r="V287" s="480"/>
      <c r="W287" s="480">
        <f>805/1200</f>
        <v>0.67079999999999995</v>
      </c>
      <c r="X287" s="480"/>
      <c r="Y287" s="480"/>
      <c r="Z287" s="480"/>
      <c r="AA287" s="480"/>
      <c r="AB287" s="480"/>
      <c r="AC287" s="393" t="e">
        <f t="shared" si="106"/>
        <v>#DIV/0!</v>
      </c>
      <c r="AD287" s="393" t="e">
        <f t="shared" si="107"/>
        <v>#DIV/0!</v>
      </c>
      <c r="AE287" s="393" t="e">
        <f t="shared" si="108"/>
        <v>#DIV/0!</v>
      </c>
      <c r="AF287" s="393" t="e">
        <f t="shared" si="109"/>
        <v>#DIV/0!</v>
      </c>
      <c r="AG287" s="393" t="e">
        <f t="shared" si="110"/>
        <v>#DIV/0!</v>
      </c>
      <c r="AH287" s="393" t="e">
        <f t="shared" si="111"/>
        <v>#DIV/0!</v>
      </c>
      <c r="AI287" s="393" t="e">
        <f t="shared" si="112"/>
        <v>#DIV/0!</v>
      </c>
      <c r="AJ287" s="393" t="e">
        <f t="shared" si="113"/>
        <v>#DIV/0!</v>
      </c>
      <c r="AK287" s="393" t="e">
        <f t="shared" si="114"/>
        <v>#DIV/0!</v>
      </c>
      <c r="AL287" s="393" t="e">
        <f t="shared" si="115"/>
        <v>#DIV/0!</v>
      </c>
      <c r="AM287" s="393" t="e">
        <f t="shared" si="116"/>
        <v>#DIV/0!</v>
      </c>
      <c r="AN287" s="393" t="e">
        <f t="shared" si="117"/>
        <v>#DIV/0!</v>
      </c>
      <c r="AO287" s="393" t="e">
        <f t="shared" si="118"/>
        <v>#DIV/0!</v>
      </c>
      <c r="AP287" s="393" t="e">
        <f t="shared" si="119"/>
        <v>#DIV/0!</v>
      </c>
      <c r="AQ287" s="393" t="e">
        <f t="shared" si="120"/>
        <v>#DIV/0!</v>
      </c>
      <c r="AR287" s="393" t="e">
        <f t="shared" si="121"/>
        <v>#DIV/0!</v>
      </c>
      <c r="AS287" s="393" t="e">
        <f t="shared" si="122"/>
        <v>#DIV/0!</v>
      </c>
      <c r="AT287" s="393" t="e">
        <f t="shared" si="123"/>
        <v>#DIV/0!</v>
      </c>
      <c r="AU287" s="393" t="e">
        <f t="shared" si="124"/>
        <v>#DIV/0!</v>
      </c>
      <c r="AV287" s="393" t="e">
        <f t="shared" si="125"/>
        <v>#DIV/0!</v>
      </c>
      <c r="AW287" s="393" t="e">
        <f t="shared" si="126"/>
        <v>#DIV/0!</v>
      </c>
      <c r="AX287" s="393">
        <f t="shared" si="127"/>
        <v>-100</v>
      </c>
      <c r="AY287" s="393" t="e">
        <f t="shared" si="128"/>
        <v>#DIV/0!</v>
      </c>
      <c r="AZ287" s="393" t="e">
        <f t="shared" si="129"/>
        <v>#DIV/0!</v>
      </c>
      <c r="BA287" s="393" t="e">
        <f t="shared" si="130"/>
        <v>#DIV/0!</v>
      </c>
      <c r="BB287" s="393" t="e">
        <f t="shared" si="131"/>
        <v>#DIV/0!</v>
      </c>
    </row>
    <row r="288" spans="1:54" x14ac:dyDescent="0.25">
      <c r="A288" s="361" t="s">
        <v>3592</v>
      </c>
      <c r="B288" s="480"/>
      <c r="C288" s="480"/>
      <c r="D288" s="480"/>
      <c r="E288" s="480"/>
      <c r="F288" s="480"/>
      <c r="G288" s="480">
        <f>1270/2400</f>
        <v>0.5292</v>
      </c>
      <c r="H288" s="480"/>
      <c r="I288" s="480"/>
      <c r="J288" s="480"/>
      <c r="K288" s="480"/>
      <c r="L288" s="480"/>
      <c r="M288" s="480">
        <f>778/1200</f>
        <v>0.64829999999999999</v>
      </c>
      <c r="N288" s="480">
        <f>829/1200</f>
        <v>0.69079999999999997</v>
      </c>
      <c r="O288" s="480">
        <f>881/1200</f>
        <v>0.73419999999999996</v>
      </c>
      <c r="P288" s="480"/>
      <c r="Q288" s="480"/>
      <c r="R288" s="480"/>
      <c r="S288" s="480"/>
      <c r="T288" s="480"/>
      <c r="U288" s="480"/>
      <c r="V288" s="480"/>
      <c r="W288" s="480"/>
      <c r="X288" s="480"/>
      <c r="Y288" s="480"/>
      <c r="Z288" s="480"/>
      <c r="AA288" s="480"/>
      <c r="AB288" s="480"/>
      <c r="AC288" s="393" t="e">
        <f t="shared" si="106"/>
        <v>#DIV/0!</v>
      </c>
      <c r="AD288" s="393" t="e">
        <f t="shared" si="107"/>
        <v>#DIV/0!</v>
      </c>
      <c r="AE288" s="393" t="e">
        <f t="shared" si="108"/>
        <v>#DIV/0!</v>
      </c>
      <c r="AF288" s="393" t="e">
        <f t="shared" si="109"/>
        <v>#DIV/0!</v>
      </c>
      <c r="AG288" s="393" t="e">
        <f t="shared" si="110"/>
        <v>#DIV/0!</v>
      </c>
      <c r="AH288" s="393">
        <f t="shared" si="111"/>
        <v>-100</v>
      </c>
      <c r="AI288" s="393" t="e">
        <f t="shared" si="112"/>
        <v>#DIV/0!</v>
      </c>
      <c r="AJ288" s="393" t="e">
        <f t="shared" si="113"/>
        <v>#DIV/0!</v>
      </c>
      <c r="AK288" s="393" t="e">
        <f t="shared" si="114"/>
        <v>#DIV/0!</v>
      </c>
      <c r="AL288" s="393" t="e">
        <f t="shared" si="115"/>
        <v>#DIV/0!</v>
      </c>
      <c r="AM288" s="393" t="e">
        <f t="shared" si="116"/>
        <v>#DIV/0!</v>
      </c>
      <c r="AN288" s="393">
        <f t="shared" si="117"/>
        <v>6.556</v>
      </c>
      <c r="AO288" s="393">
        <f t="shared" si="118"/>
        <v>6.2830000000000004</v>
      </c>
      <c r="AP288" s="393">
        <f t="shared" si="119"/>
        <v>-100</v>
      </c>
      <c r="AQ288" s="393" t="e">
        <f t="shared" si="120"/>
        <v>#DIV/0!</v>
      </c>
      <c r="AR288" s="393" t="e">
        <f t="shared" si="121"/>
        <v>#DIV/0!</v>
      </c>
      <c r="AS288" s="393" t="e">
        <f t="shared" si="122"/>
        <v>#DIV/0!</v>
      </c>
      <c r="AT288" s="393" t="e">
        <f t="shared" si="123"/>
        <v>#DIV/0!</v>
      </c>
      <c r="AU288" s="393" t="e">
        <f t="shared" si="124"/>
        <v>#DIV/0!</v>
      </c>
      <c r="AV288" s="393" t="e">
        <f t="shared" si="125"/>
        <v>#DIV/0!</v>
      </c>
      <c r="AW288" s="393" t="e">
        <f t="shared" si="126"/>
        <v>#DIV/0!</v>
      </c>
      <c r="AX288" s="393" t="e">
        <f t="shared" si="127"/>
        <v>#DIV/0!</v>
      </c>
      <c r="AY288" s="393" t="e">
        <f t="shared" si="128"/>
        <v>#DIV/0!</v>
      </c>
      <c r="AZ288" s="393" t="e">
        <f t="shared" si="129"/>
        <v>#DIV/0!</v>
      </c>
      <c r="BA288" s="393" t="e">
        <f t="shared" si="130"/>
        <v>#DIV/0!</v>
      </c>
      <c r="BB288" s="393" t="e">
        <f t="shared" si="131"/>
        <v>#DIV/0!</v>
      </c>
    </row>
    <row r="289" spans="1:54" x14ac:dyDescent="0.25">
      <c r="A289" s="361" t="s">
        <v>920</v>
      </c>
      <c r="B289" s="480"/>
      <c r="C289" s="480"/>
      <c r="D289" s="480"/>
      <c r="E289" s="480"/>
      <c r="F289" s="480"/>
      <c r="G289" s="480"/>
      <c r="H289" s="480"/>
      <c r="I289" s="480"/>
      <c r="J289" s="480"/>
      <c r="K289" s="480"/>
      <c r="L289" s="480"/>
      <c r="M289" s="480"/>
      <c r="N289" s="480"/>
      <c r="O289" s="480"/>
      <c r="P289" s="480"/>
      <c r="Q289" s="480"/>
      <c r="R289" s="480"/>
      <c r="S289" s="480"/>
      <c r="T289" s="480"/>
      <c r="U289" s="480"/>
      <c r="V289" s="480"/>
      <c r="W289" s="480">
        <f>724/1200</f>
        <v>0.60329999999999995</v>
      </c>
      <c r="X289" s="480"/>
      <c r="Y289" s="480"/>
      <c r="Z289" s="480"/>
      <c r="AA289" s="480"/>
      <c r="AB289" s="480"/>
      <c r="AC289" s="393" t="e">
        <f t="shared" si="106"/>
        <v>#DIV/0!</v>
      </c>
      <c r="AD289" s="393" t="e">
        <f t="shared" si="107"/>
        <v>#DIV/0!</v>
      </c>
      <c r="AE289" s="393" t="e">
        <f t="shared" si="108"/>
        <v>#DIV/0!</v>
      </c>
      <c r="AF289" s="393" t="e">
        <f t="shared" si="109"/>
        <v>#DIV/0!</v>
      </c>
      <c r="AG289" s="393" t="e">
        <f t="shared" si="110"/>
        <v>#DIV/0!</v>
      </c>
      <c r="AH289" s="393" t="e">
        <f t="shared" si="111"/>
        <v>#DIV/0!</v>
      </c>
      <c r="AI289" s="393" t="e">
        <f t="shared" si="112"/>
        <v>#DIV/0!</v>
      </c>
      <c r="AJ289" s="393" t="e">
        <f t="shared" si="113"/>
        <v>#DIV/0!</v>
      </c>
      <c r="AK289" s="393" t="e">
        <f t="shared" si="114"/>
        <v>#DIV/0!</v>
      </c>
      <c r="AL289" s="393" t="e">
        <f t="shared" si="115"/>
        <v>#DIV/0!</v>
      </c>
      <c r="AM289" s="393" t="e">
        <f t="shared" si="116"/>
        <v>#DIV/0!</v>
      </c>
      <c r="AN289" s="393" t="e">
        <f t="shared" si="117"/>
        <v>#DIV/0!</v>
      </c>
      <c r="AO289" s="393" t="e">
        <f t="shared" si="118"/>
        <v>#DIV/0!</v>
      </c>
      <c r="AP289" s="393" t="e">
        <f t="shared" si="119"/>
        <v>#DIV/0!</v>
      </c>
      <c r="AQ289" s="393" t="e">
        <f t="shared" si="120"/>
        <v>#DIV/0!</v>
      </c>
      <c r="AR289" s="393" t="e">
        <f t="shared" si="121"/>
        <v>#DIV/0!</v>
      </c>
      <c r="AS289" s="393" t="e">
        <f t="shared" si="122"/>
        <v>#DIV/0!</v>
      </c>
      <c r="AT289" s="393" t="e">
        <f t="shared" si="123"/>
        <v>#DIV/0!</v>
      </c>
      <c r="AU289" s="393" t="e">
        <f t="shared" si="124"/>
        <v>#DIV/0!</v>
      </c>
      <c r="AV289" s="393" t="e">
        <f t="shared" si="125"/>
        <v>#DIV/0!</v>
      </c>
      <c r="AW289" s="393" t="e">
        <f t="shared" si="126"/>
        <v>#DIV/0!</v>
      </c>
      <c r="AX289" s="393">
        <f t="shared" si="127"/>
        <v>-100</v>
      </c>
      <c r="AY289" s="393" t="e">
        <f t="shared" si="128"/>
        <v>#DIV/0!</v>
      </c>
      <c r="AZ289" s="393" t="e">
        <f t="shared" si="129"/>
        <v>#DIV/0!</v>
      </c>
      <c r="BA289" s="393" t="e">
        <f t="shared" si="130"/>
        <v>#DIV/0!</v>
      </c>
      <c r="BB289" s="393" t="e">
        <f t="shared" si="131"/>
        <v>#DIV/0!</v>
      </c>
    </row>
    <row r="290" spans="1:54" x14ac:dyDescent="0.25">
      <c r="A290" s="361" t="s">
        <v>1568</v>
      </c>
      <c r="B290" s="480"/>
      <c r="C290" s="480"/>
      <c r="D290" s="480"/>
      <c r="E290" s="480"/>
      <c r="F290" s="480"/>
      <c r="G290" s="480"/>
      <c r="H290" s="480"/>
      <c r="I290" s="480"/>
      <c r="J290" s="480"/>
      <c r="K290" s="480"/>
      <c r="L290" s="480"/>
      <c r="M290" s="480"/>
      <c r="N290" s="480"/>
      <c r="O290" s="480"/>
      <c r="P290" s="480">
        <f>960/1800</f>
        <v>0.5333</v>
      </c>
      <c r="Q290" s="480">
        <f>1044/1800</f>
        <v>0.57999999999999996</v>
      </c>
      <c r="R290" s="480">
        <f>1174/1800</f>
        <v>0.6522</v>
      </c>
      <c r="S290" s="480">
        <f>1123/1800</f>
        <v>0.62390000000000001</v>
      </c>
      <c r="T290" s="480">
        <f>768/1200</f>
        <v>0.64</v>
      </c>
      <c r="U290" s="480">
        <f>1178/1800</f>
        <v>0.65439999999999998</v>
      </c>
      <c r="V290" s="480"/>
      <c r="W290" s="480"/>
      <c r="X290" s="480"/>
      <c r="Y290" s="480"/>
      <c r="Z290" s="480"/>
      <c r="AA290" s="480"/>
      <c r="AB290" s="480"/>
      <c r="AC290" s="393" t="e">
        <f t="shared" si="106"/>
        <v>#DIV/0!</v>
      </c>
      <c r="AD290" s="393" t="e">
        <f t="shared" si="107"/>
        <v>#DIV/0!</v>
      </c>
      <c r="AE290" s="393" t="e">
        <f t="shared" si="108"/>
        <v>#DIV/0!</v>
      </c>
      <c r="AF290" s="393" t="e">
        <f t="shared" si="109"/>
        <v>#DIV/0!</v>
      </c>
      <c r="AG290" s="393" t="e">
        <f t="shared" si="110"/>
        <v>#DIV/0!</v>
      </c>
      <c r="AH290" s="393" t="e">
        <f t="shared" si="111"/>
        <v>#DIV/0!</v>
      </c>
      <c r="AI290" s="393" t="e">
        <f t="shared" si="112"/>
        <v>#DIV/0!</v>
      </c>
      <c r="AJ290" s="393" t="e">
        <f t="shared" si="113"/>
        <v>#DIV/0!</v>
      </c>
      <c r="AK290" s="393" t="e">
        <f t="shared" si="114"/>
        <v>#DIV/0!</v>
      </c>
      <c r="AL290" s="393" t="e">
        <f t="shared" si="115"/>
        <v>#DIV/0!</v>
      </c>
      <c r="AM290" s="393" t="e">
        <f t="shared" si="116"/>
        <v>#DIV/0!</v>
      </c>
      <c r="AN290" s="393" t="e">
        <f t="shared" si="117"/>
        <v>#DIV/0!</v>
      </c>
      <c r="AO290" s="393" t="e">
        <f t="shared" si="118"/>
        <v>#DIV/0!</v>
      </c>
      <c r="AP290" s="393" t="e">
        <f t="shared" si="119"/>
        <v>#DIV/0!</v>
      </c>
      <c r="AQ290" s="393">
        <f t="shared" si="120"/>
        <v>8.7569999999999997</v>
      </c>
      <c r="AR290" s="393">
        <f t="shared" si="121"/>
        <v>12.448</v>
      </c>
      <c r="AS290" s="393">
        <f t="shared" si="122"/>
        <v>-4.3390000000000004</v>
      </c>
      <c r="AT290" s="393">
        <f t="shared" si="123"/>
        <v>2.581</v>
      </c>
      <c r="AU290" s="393">
        <f t="shared" si="124"/>
        <v>2.25</v>
      </c>
      <c r="AV290" s="393">
        <f t="shared" si="125"/>
        <v>-100</v>
      </c>
      <c r="AW290" s="393" t="e">
        <f t="shared" si="126"/>
        <v>#DIV/0!</v>
      </c>
      <c r="AX290" s="393" t="e">
        <f t="shared" si="127"/>
        <v>#DIV/0!</v>
      </c>
      <c r="AY290" s="393" t="e">
        <f t="shared" si="128"/>
        <v>#DIV/0!</v>
      </c>
      <c r="AZ290" s="393" t="e">
        <f t="shared" si="129"/>
        <v>#DIV/0!</v>
      </c>
      <c r="BA290" s="393" t="e">
        <f t="shared" si="130"/>
        <v>#DIV/0!</v>
      </c>
      <c r="BB290" s="393" t="e">
        <f t="shared" si="131"/>
        <v>#DIV/0!</v>
      </c>
    </row>
    <row r="291" spans="1:54" x14ac:dyDescent="0.25">
      <c r="A291" s="355" t="s">
        <v>3304</v>
      </c>
      <c r="B291" s="480"/>
      <c r="C291" s="480"/>
      <c r="D291" s="480"/>
      <c r="E291" s="480"/>
      <c r="F291" s="480"/>
      <c r="G291" s="480"/>
      <c r="H291" s="480"/>
      <c r="I291" s="480">
        <f>629/1200</f>
        <v>0.5242</v>
      </c>
      <c r="J291" s="480">
        <f>595/1200</f>
        <v>0.49580000000000002</v>
      </c>
      <c r="K291" s="480">
        <f>654/1200</f>
        <v>0.54500000000000004</v>
      </c>
      <c r="L291" s="480"/>
      <c r="M291" s="480"/>
      <c r="N291" s="480"/>
      <c r="O291" s="480"/>
      <c r="P291" s="480"/>
      <c r="Q291" s="480"/>
      <c r="R291" s="480"/>
      <c r="S291" s="480"/>
      <c r="T291" s="480"/>
      <c r="U291" s="480"/>
      <c r="V291" s="481"/>
      <c r="W291" s="481"/>
      <c r="X291" s="481"/>
      <c r="Y291" s="481"/>
      <c r="Z291" s="481"/>
      <c r="AA291" s="481"/>
      <c r="AB291" s="481"/>
      <c r="AC291" s="393" t="e">
        <f t="shared" si="106"/>
        <v>#DIV/0!</v>
      </c>
      <c r="AD291" s="393" t="e">
        <f t="shared" si="107"/>
        <v>#DIV/0!</v>
      </c>
      <c r="AE291" s="393" t="e">
        <f t="shared" si="108"/>
        <v>#DIV/0!</v>
      </c>
      <c r="AF291" s="393" t="e">
        <f t="shared" si="109"/>
        <v>#DIV/0!</v>
      </c>
      <c r="AG291" s="393" t="e">
        <f t="shared" si="110"/>
        <v>#DIV/0!</v>
      </c>
      <c r="AH291" s="393" t="e">
        <f t="shared" si="111"/>
        <v>#DIV/0!</v>
      </c>
      <c r="AI291" s="393" t="e">
        <f t="shared" si="112"/>
        <v>#DIV/0!</v>
      </c>
      <c r="AJ291" s="393">
        <f t="shared" si="113"/>
        <v>-5.4180000000000001</v>
      </c>
      <c r="AK291" s="393">
        <f t="shared" si="114"/>
        <v>9.923</v>
      </c>
      <c r="AL291" s="393">
        <f t="shared" si="115"/>
        <v>-100</v>
      </c>
      <c r="AM291" s="393" t="e">
        <f t="shared" si="116"/>
        <v>#DIV/0!</v>
      </c>
      <c r="AN291" s="393" t="e">
        <f t="shared" si="117"/>
        <v>#DIV/0!</v>
      </c>
      <c r="AO291" s="393" t="e">
        <f t="shared" si="118"/>
        <v>#DIV/0!</v>
      </c>
      <c r="AP291" s="393" t="e">
        <f t="shared" si="119"/>
        <v>#DIV/0!</v>
      </c>
      <c r="AQ291" s="393" t="e">
        <f t="shared" si="120"/>
        <v>#DIV/0!</v>
      </c>
      <c r="AR291" s="393" t="e">
        <f t="shared" si="121"/>
        <v>#DIV/0!</v>
      </c>
      <c r="AS291" s="393" t="e">
        <f t="shared" si="122"/>
        <v>#DIV/0!</v>
      </c>
      <c r="AT291" s="393" t="e">
        <f t="shared" si="123"/>
        <v>#DIV/0!</v>
      </c>
      <c r="AU291" s="393" t="e">
        <f t="shared" si="124"/>
        <v>#DIV/0!</v>
      </c>
      <c r="AV291" s="393" t="e">
        <f t="shared" si="125"/>
        <v>#DIV/0!</v>
      </c>
      <c r="AW291" s="393" t="e">
        <f t="shared" si="126"/>
        <v>#DIV/0!</v>
      </c>
      <c r="AX291" s="393" t="e">
        <f t="shared" si="127"/>
        <v>#DIV/0!</v>
      </c>
      <c r="AY291" s="393" t="e">
        <f t="shared" si="128"/>
        <v>#DIV/0!</v>
      </c>
      <c r="AZ291" s="393" t="e">
        <f t="shared" si="129"/>
        <v>#DIV/0!</v>
      </c>
      <c r="BA291" s="393" t="e">
        <f t="shared" si="130"/>
        <v>#DIV/0!</v>
      </c>
      <c r="BB291" s="393" t="e">
        <f t="shared" si="131"/>
        <v>#DIV/0!</v>
      </c>
    </row>
    <row r="292" spans="1:54" x14ac:dyDescent="0.25">
      <c r="A292" s="361" t="s">
        <v>1287</v>
      </c>
      <c r="B292" s="480"/>
      <c r="C292" s="480"/>
      <c r="D292" s="480"/>
      <c r="E292" s="480"/>
      <c r="F292" s="480"/>
      <c r="G292" s="480"/>
      <c r="H292" s="480"/>
      <c r="I292" s="480"/>
      <c r="J292" s="480"/>
      <c r="K292" s="480"/>
      <c r="L292" s="480"/>
      <c r="M292" s="480"/>
      <c r="N292" s="480"/>
      <c r="O292" s="480"/>
      <c r="P292" s="480"/>
      <c r="Q292" s="480"/>
      <c r="R292" s="480"/>
      <c r="S292" s="480">
        <f>824/1800</f>
        <v>0.45779999999999998</v>
      </c>
      <c r="T292" s="480">
        <f>675/1200</f>
        <v>0.5625</v>
      </c>
      <c r="U292" s="480"/>
      <c r="V292" s="480"/>
      <c r="W292" s="480"/>
      <c r="X292" s="480"/>
      <c r="Y292" s="480"/>
      <c r="Z292" s="480"/>
      <c r="AA292" s="480"/>
      <c r="AB292" s="480"/>
      <c r="AC292" s="393" t="e">
        <f t="shared" si="106"/>
        <v>#DIV/0!</v>
      </c>
      <c r="AD292" s="393" t="e">
        <f t="shared" si="107"/>
        <v>#DIV/0!</v>
      </c>
      <c r="AE292" s="393" t="e">
        <f t="shared" si="108"/>
        <v>#DIV/0!</v>
      </c>
      <c r="AF292" s="393" t="e">
        <f t="shared" si="109"/>
        <v>#DIV/0!</v>
      </c>
      <c r="AG292" s="393" t="e">
        <f t="shared" si="110"/>
        <v>#DIV/0!</v>
      </c>
      <c r="AH292" s="393" t="e">
        <f t="shared" si="111"/>
        <v>#DIV/0!</v>
      </c>
      <c r="AI292" s="393" t="e">
        <f t="shared" si="112"/>
        <v>#DIV/0!</v>
      </c>
      <c r="AJ292" s="393" t="e">
        <f t="shared" si="113"/>
        <v>#DIV/0!</v>
      </c>
      <c r="AK292" s="393" t="e">
        <f t="shared" si="114"/>
        <v>#DIV/0!</v>
      </c>
      <c r="AL292" s="393" t="e">
        <f t="shared" si="115"/>
        <v>#DIV/0!</v>
      </c>
      <c r="AM292" s="393" t="e">
        <f t="shared" si="116"/>
        <v>#DIV/0!</v>
      </c>
      <c r="AN292" s="393" t="e">
        <f t="shared" si="117"/>
        <v>#DIV/0!</v>
      </c>
      <c r="AO292" s="393" t="e">
        <f t="shared" si="118"/>
        <v>#DIV/0!</v>
      </c>
      <c r="AP292" s="393" t="e">
        <f t="shared" si="119"/>
        <v>#DIV/0!</v>
      </c>
      <c r="AQ292" s="393" t="e">
        <f t="shared" si="120"/>
        <v>#DIV/0!</v>
      </c>
      <c r="AR292" s="393" t="e">
        <f t="shared" si="121"/>
        <v>#DIV/0!</v>
      </c>
      <c r="AS292" s="393" t="e">
        <f t="shared" si="122"/>
        <v>#DIV/0!</v>
      </c>
      <c r="AT292" s="393">
        <f t="shared" si="123"/>
        <v>22.87</v>
      </c>
      <c r="AU292" s="393">
        <f t="shared" si="124"/>
        <v>-100</v>
      </c>
      <c r="AV292" s="393" t="e">
        <f t="shared" si="125"/>
        <v>#DIV/0!</v>
      </c>
      <c r="AW292" s="393" t="e">
        <f t="shared" si="126"/>
        <v>#DIV/0!</v>
      </c>
      <c r="AX292" s="393" t="e">
        <f t="shared" si="127"/>
        <v>#DIV/0!</v>
      </c>
      <c r="AY292" s="393" t="e">
        <f t="shared" si="128"/>
        <v>#DIV/0!</v>
      </c>
      <c r="AZ292" s="393" t="e">
        <f t="shared" si="129"/>
        <v>#DIV/0!</v>
      </c>
      <c r="BA292" s="393" t="e">
        <f t="shared" si="130"/>
        <v>#DIV/0!</v>
      </c>
      <c r="BB292" s="393" t="e">
        <f t="shared" si="131"/>
        <v>#DIV/0!</v>
      </c>
    </row>
    <row r="293" spans="1:54" x14ac:dyDescent="0.25">
      <c r="A293" s="361" t="s">
        <v>949</v>
      </c>
      <c r="B293" s="480"/>
      <c r="C293" s="480"/>
      <c r="D293" s="480"/>
      <c r="E293" s="480"/>
      <c r="F293" s="480"/>
      <c r="G293" s="480"/>
      <c r="H293" s="480"/>
      <c r="I293" s="480"/>
      <c r="J293" s="480"/>
      <c r="K293" s="480"/>
      <c r="L293" s="480"/>
      <c r="M293" s="480"/>
      <c r="N293" s="480"/>
      <c r="O293" s="480"/>
      <c r="P293" s="480"/>
      <c r="Q293" s="480"/>
      <c r="R293" s="480"/>
      <c r="S293" s="480"/>
      <c r="T293" s="480"/>
      <c r="U293" s="480"/>
      <c r="V293" s="480"/>
      <c r="W293" s="480">
        <f>900/1200</f>
        <v>0.75</v>
      </c>
      <c r="X293" s="480"/>
      <c r="Y293" s="480"/>
      <c r="Z293" s="480"/>
      <c r="AA293" s="480"/>
      <c r="AB293" s="480"/>
      <c r="AC293" s="393" t="e">
        <f t="shared" si="106"/>
        <v>#DIV/0!</v>
      </c>
      <c r="AD293" s="393" t="e">
        <f t="shared" si="107"/>
        <v>#DIV/0!</v>
      </c>
      <c r="AE293" s="393" t="e">
        <f t="shared" si="108"/>
        <v>#DIV/0!</v>
      </c>
      <c r="AF293" s="393" t="e">
        <f t="shared" si="109"/>
        <v>#DIV/0!</v>
      </c>
      <c r="AG293" s="393" t="e">
        <f t="shared" si="110"/>
        <v>#DIV/0!</v>
      </c>
      <c r="AH293" s="393" t="e">
        <f t="shared" si="111"/>
        <v>#DIV/0!</v>
      </c>
      <c r="AI293" s="393" t="e">
        <f t="shared" si="112"/>
        <v>#DIV/0!</v>
      </c>
      <c r="AJ293" s="393" t="e">
        <f t="shared" si="113"/>
        <v>#DIV/0!</v>
      </c>
      <c r="AK293" s="393" t="e">
        <f t="shared" si="114"/>
        <v>#DIV/0!</v>
      </c>
      <c r="AL293" s="393" t="e">
        <f t="shared" si="115"/>
        <v>#DIV/0!</v>
      </c>
      <c r="AM293" s="393" t="e">
        <f t="shared" si="116"/>
        <v>#DIV/0!</v>
      </c>
      <c r="AN293" s="393" t="e">
        <f t="shared" si="117"/>
        <v>#DIV/0!</v>
      </c>
      <c r="AO293" s="393" t="e">
        <f t="shared" si="118"/>
        <v>#DIV/0!</v>
      </c>
      <c r="AP293" s="393" t="e">
        <f t="shared" si="119"/>
        <v>#DIV/0!</v>
      </c>
      <c r="AQ293" s="393" t="e">
        <f t="shared" si="120"/>
        <v>#DIV/0!</v>
      </c>
      <c r="AR293" s="393" t="e">
        <f t="shared" si="121"/>
        <v>#DIV/0!</v>
      </c>
      <c r="AS293" s="393" t="e">
        <f t="shared" si="122"/>
        <v>#DIV/0!</v>
      </c>
      <c r="AT293" s="393" t="e">
        <f t="shared" si="123"/>
        <v>#DIV/0!</v>
      </c>
      <c r="AU293" s="393" t="e">
        <f t="shared" si="124"/>
        <v>#DIV/0!</v>
      </c>
      <c r="AV293" s="393" t="e">
        <f t="shared" si="125"/>
        <v>#DIV/0!</v>
      </c>
      <c r="AW293" s="393" t="e">
        <f t="shared" si="126"/>
        <v>#DIV/0!</v>
      </c>
      <c r="AX293" s="393">
        <f t="shared" si="127"/>
        <v>-100</v>
      </c>
      <c r="AY293" s="393" t="e">
        <f t="shared" si="128"/>
        <v>#DIV/0!</v>
      </c>
      <c r="AZ293" s="393" t="e">
        <f t="shared" si="129"/>
        <v>#DIV/0!</v>
      </c>
      <c r="BA293" s="393" t="e">
        <f t="shared" si="130"/>
        <v>#DIV/0!</v>
      </c>
      <c r="BB293" s="393" t="e">
        <f t="shared" si="131"/>
        <v>#DIV/0!</v>
      </c>
    </row>
    <row r="294" spans="1:54" x14ac:dyDescent="0.25">
      <c r="A294" s="361" t="s">
        <v>4011</v>
      </c>
      <c r="B294" s="480"/>
      <c r="C294" s="480"/>
      <c r="D294" s="480"/>
      <c r="E294" s="480"/>
      <c r="F294" s="480"/>
      <c r="G294" s="480"/>
      <c r="H294" s="480"/>
      <c r="I294" s="480"/>
      <c r="J294" s="480"/>
      <c r="K294" s="480"/>
      <c r="L294" s="480"/>
      <c r="M294" s="480"/>
      <c r="N294" s="480"/>
      <c r="O294" s="480"/>
      <c r="P294" s="480"/>
      <c r="Q294" s="480"/>
      <c r="R294" s="480"/>
      <c r="S294" s="480">
        <f>1135/1800</f>
        <v>0.63060000000000005</v>
      </c>
      <c r="T294" s="480">
        <f>799/1200</f>
        <v>0.66579999999999995</v>
      </c>
      <c r="U294" s="480">
        <f>1266/1800</f>
        <v>0.70330000000000004</v>
      </c>
      <c r="V294" s="480"/>
      <c r="W294" s="480"/>
      <c r="X294" s="480"/>
      <c r="Y294" s="480"/>
      <c r="Z294" s="480"/>
      <c r="AA294" s="480"/>
      <c r="AB294" s="480"/>
      <c r="AC294" s="393" t="e">
        <f t="shared" si="106"/>
        <v>#DIV/0!</v>
      </c>
      <c r="AD294" s="393" t="e">
        <f t="shared" si="107"/>
        <v>#DIV/0!</v>
      </c>
      <c r="AE294" s="393" t="e">
        <f t="shared" si="108"/>
        <v>#DIV/0!</v>
      </c>
      <c r="AF294" s="393" t="e">
        <f t="shared" si="109"/>
        <v>#DIV/0!</v>
      </c>
      <c r="AG294" s="393" t="e">
        <f t="shared" si="110"/>
        <v>#DIV/0!</v>
      </c>
      <c r="AH294" s="393" t="e">
        <f t="shared" si="111"/>
        <v>#DIV/0!</v>
      </c>
      <c r="AI294" s="393" t="e">
        <f t="shared" si="112"/>
        <v>#DIV/0!</v>
      </c>
      <c r="AJ294" s="393" t="e">
        <f t="shared" si="113"/>
        <v>#DIV/0!</v>
      </c>
      <c r="AK294" s="393" t="e">
        <f t="shared" si="114"/>
        <v>#DIV/0!</v>
      </c>
      <c r="AL294" s="393" t="e">
        <f t="shared" si="115"/>
        <v>#DIV/0!</v>
      </c>
      <c r="AM294" s="393" t="e">
        <f t="shared" si="116"/>
        <v>#DIV/0!</v>
      </c>
      <c r="AN294" s="393" t="e">
        <f t="shared" si="117"/>
        <v>#DIV/0!</v>
      </c>
      <c r="AO294" s="393" t="e">
        <f t="shared" si="118"/>
        <v>#DIV/0!</v>
      </c>
      <c r="AP294" s="393" t="e">
        <f t="shared" si="119"/>
        <v>#DIV/0!</v>
      </c>
      <c r="AQ294" s="393" t="e">
        <f t="shared" si="120"/>
        <v>#DIV/0!</v>
      </c>
      <c r="AR294" s="393" t="e">
        <f t="shared" si="121"/>
        <v>#DIV/0!</v>
      </c>
      <c r="AS294" s="393" t="e">
        <f t="shared" si="122"/>
        <v>#DIV/0!</v>
      </c>
      <c r="AT294" s="393">
        <f t="shared" si="123"/>
        <v>5.5819999999999999</v>
      </c>
      <c r="AU294" s="393">
        <f t="shared" si="124"/>
        <v>5.6319999999999997</v>
      </c>
      <c r="AV294" s="393">
        <f t="shared" si="125"/>
        <v>-100</v>
      </c>
      <c r="AW294" s="393" t="e">
        <f t="shared" si="126"/>
        <v>#DIV/0!</v>
      </c>
      <c r="AX294" s="393" t="e">
        <f t="shared" si="127"/>
        <v>#DIV/0!</v>
      </c>
      <c r="AY294" s="393" t="e">
        <f t="shared" si="128"/>
        <v>#DIV/0!</v>
      </c>
      <c r="AZ294" s="393" t="e">
        <f t="shared" si="129"/>
        <v>#DIV/0!</v>
      </c>
      <c r="BA294" s="393" t="e">
        <f t="shared" si="130"/>
        <v>#DIV/0!</v>
      </c>
      <c r="BB294" s="393" t="e">
        <f t="shared" si="131"/>
        <v>#DIV/0!</v>
      </c>
    </row>
    <row r="295" spans="1:54" x14ac:dyDescent="0.25">
      <c r="A295" s="360" t="s">
        <v>1326</v>
      </c>
      <c r="B295" s="480"/>
      <c r="C295" s="480"/>
      <c r="D295" s="480"/>
      <c r="E295" s="480">
        <f>761/1800</f>
        <v>0.42280000000000001</v>
      </c>
      <c r="F295" s="480"/>
      <c r="G295" s="480"/>
      <c r="H295" s="480"/>
      <c r="I295" s="480"/>
      <c r="J295" s="480"/>
      <c r="K295" s="480"/>
      <c r="L295" s="480"/>
      <c r="M295" s="480"/>
      <c r="N295" s="480"/>
      <c r="O295" s="480"/>
      <c r="P295" s="480"/>
      <c r="Q295" s="480"/>
      <c r="R295" s="480"/>
      <c r="S295" s="480"/>
      <c r="T295" s="480"/>
      <c r="U295" s="480"/>
      <c r="V295" s="480"/>
      <c r="W295" s="480"/>
      <c r="X295" s="480"/>
      <c r="Y295" s="480"/>
      <c r="Z295" s="480"/>
      <c r="AA295" s="480"/>
      <c r="AB295" s="480"/>
      <c r="AC295" s="393" t="e">
        <f t="shared" si="106"/>
        <v>#DIV/0!</v>
      </c>
      <c r="AD295" s="393" t="e">
        <f t="shared" si="107"/>
        <v>#DIV/0!</v>
      </c>
      <c r="AE295" s="393" t="e">
        <f t="shared" si="108"/>
        <v>#DIV/0!</v>
      </c>
      <c r="AF295" s="393">
        <f t="shared" si="109"/>
        <v>-100</v>
      </c>
      <c r="AG295" s="393" t="e">
        <f t="shared" si="110"/>
        <v>#DIV/0!</v>
      </c>
      <c r="AH295" s="393" t="e">
        <f t="shared" si="111"/>
        <v>#DIV/0!</v>
      </c>
      <c r="AI295" s="393" t="e">
        <f t="shared" si="112"/>
        <v>#DIV/0!</v>
      </c>
      <c r="AJ295" s="393" t="e">
        <f t="shared" si="113"/>
        <v>#DIV/0!</v>
      </c>
      <c r="AK295" s="393" t="e">
        <f t="shared" si="114"/>
        <v>#DIV/0!</v>
      </c>
      <c r="AL295" s="393" t="e">
        <f t="shared" si="115"/>
        <v>#DIV/0!</v>
      </c>
      <c r="AM295" s="393" t="e">
        <f t="shared" si="116"/>
        <v>#DIV/0!</v>
      </c>
      <c r="AN295" s="393" t="e">
        <f t="shared" si="117"/>
        <v>#DIV/0!</v>
      </c>
      <c r="AO295" s="393" t="e">
        <f t="shared" si="118"/>
        <v>#DIV/0!</v>
      </c>
      <c r="AP295" s="393" t="e">
        <f t="shared" si="119"/>
        <v>#DIV/0!</v>
      </c>
      <c r="AQ295" s="393" t="e">
        <f t="shared" si="120"/>
        <v>#DIV/0!</v>
      </c>
      <c r="AR295" s="393" t="e">
        <f t="shared" si="121"/>
        <v>#DIV/0!</v>
      </c>
      <c r="AS295" s="393" t="e">
        <f t="shared" si="122"/>
        <v>#DIV/0!</v>
      </c>
      <c r="AT295" s="393" t="e">
        <f t="shared" si="123"/>
        <v>#DIV/0!</v>
      </c>
      <c r="AU295" s="393" t="e">
        <f t="shared" si="124"/>
        <v>#DIV/0!</v>
      </c>
      <c r="AV295" s="393" t="e">
        <f t="shared" si="125"/>
        <v>#DIV/0!</v>
      </c>
      <c r="AW295" s="393" t="e">
        <f t="shared" si="126"/>
        <v>#DIV/0!</v>
      </c>
      <c r="AX295" s="393" t="e">
        <f t="shared" si="127"/>
        <v>#DIV/0!</v>
      </c>
      <c r="AY295" s="393" t="e">
        <f t="shared" si="128"/>
        <v>#DIV/0!</v>
      </c>
      <c r="AZ295" s="393" t="e">
        <f t="shared" si="129"/>
        <v>#DIV/0!</v>
      </c>
      <c r="BA295" s="393" t="e">
        <f t="shared" si="130"/>
        <v>#DIV/0!</v>
      </c>
      <c r="BB295" s="393" t="e">
        <f t="shared" si="131"/>
        <v>#DIV/0!</v>
      </c>
    </row>
    <row r="296" spans="1:54" x14ac:dyDescent="0.25">
      <c r="A296" s="361" t="s">
        <v>3599</v>
      </c>
      <c r="B296" s="480"/>
      <c r="C296" s="480"/>
      <c r="D296" s="480"/>
      <c r="E296" s="480"/>
      <c r="F296" s="480"/>
      <c r="G296" s="480"/>
      <c r="H296" s="480"/>
      <c r="I296" s="480"/>
      <c r="J296" s="480"/>
      <c r="K296" s="480"/>
      <c r="L296" s="480"/>
      <c r="M296" s="480"/>
      <c r="N296" s="480"/>
      <c r="O296" s="480"/>
      <c r="P296" s="480">
        <f>1212/1800</f>
        <v>0.67330000000000001</v>
      </c>
      <c r="Q296" s="480">
        <f>1263/1800</f>
        <v>0.70169999999999999</v>
      </c>
      <c r="R296" s="480">
        <f>1255/1800</f>
        <v>0.69720000000000004</v>
      </c>
      <c r="S296" s="480">
        <f>1214/1800</f>
        <v>0.6744</v>
      </c>
      <c r="T296" s="480">
        <f>773/1200</f>
        <v>0.64419999999999999</v>
      </c>
      <c r="U296" s="480"/>
      <c r="V296" s="480"/>
      <c r="W296" s="480"/>
      <c r="X296" s="480"/>
      <c r="Y296" s="480"/>
      <c r="Z296" s="480"/>
      <c r="AA296" s="480"/>
      <c r="AB296" s="480"/>
      <c r="AC296" s="393" t="e">
        <f t="shared" si="106"/>
        <v>#DIV/0!</v>
      </c>
      <c r="AD296" s="393" t="e">
        <f t="shared" si="107"/>
        <v>#DIV/0!</v>
      </c>
      <c r="AE296" s="393" t="e">
        <f t="shared" si="108"/>
        <v>#DIV/0!</v>
      </c>
      <c r="AF296" s="393" t="e">
        <f t="shared" si="109"/>
        <v>#DIV/0!</v>
      </c>
      <c r="AG296" s="393" t="e">
        <f t="shared" si="110"/>
        <v>#DIV/0!</v>
      </c>
      <c r="AH296" s="393" t="e">
        <f t="shared" si="111"/>
        <v>#DIV/0!</v>
      </c>
      <c r="AI296" s="393" t="e">
        <f t="shared" si="112"/>
        <v>#DIV/0!</v>
      </c>
      <c r="AJ296" s="393" t="e">
        <f t="shared" si="113"/>
        <v>#DIV/0!</v>
      </c>
      <c r="AK296" s="393" t="e">
        <f t="shared" si="114"/>
        <v>#DIV/0!</v>
      </c>
      <c r="AL296" s="393" t="e">
        <f t="shared" si="115"/>
        <v>#DIV/0!</v>
      </c>
      <c r="AM296" s="393" t="e">
        <f t="shared" si="116"/>
        <v>#DIV/0!</v>
      </c>
      <c r="AN296" s="393" t="e">
        <f t="shared" si="117"/>
        <v>#DIV/0!</v>
      </c>
      <c r="AO296" s="393" t="e">
        <f t="shared" si="118"/>
        <v>#DIV/0!</v>
      </c>
      <c r="AP296" s="393" t="e">
        <f t="shared" si="119"/>
        <v>#DIV/0!</v>
      </c>
      <c r="AQ296" s="393">
        <f t="shared" si="120"/>
        <v>4.218</v>
      </c>
      <c r="AR296" s="393">
        <f t="shared" si="121"/>
        <v>-0.64100000000000001</v>
      </c>
      <c r="AS296" s="393">
        <f t="shared" si="122"/>
        <v>-3.27</v>
      </c>
      <c r="AT296" s="393">
        <f t="shared" si="123"/>
        <v>-4.4779999999999998</v>
      </c>
      <c r="AU296" s="393">
        <f t="shared" si="124"/>
        <v>-100</v>
      </c>
      <c r="AV296" s="393" t="e">
        <f t="shared" si="125"/>
        <v>#DIV/0!</v>
      </c>
      <c r="AW296" s="393" t="e">
        <f t="shared" si="126"/>
        <v>#DIV/0!</v>
      </c>
      <c r="AX296" s="393" t="e">
        <f t="shared" si="127"/>
        <v>#DIV/0!</v>
      </c>
      <c r="AY296" s="393" t="e">
        <f t="shared" si="128"/>
        <v>#DIV/0!</v>
      </c>
      <c r="AZ296" s="393" t="e">
        <f t="shared" si="129"/>
        <v>#DIV/0!</v>
      </c>
      <c r="BA296" s="393" t="e">
        <f t="shared" si="130"/>
        <v>#DIV/0!</v>
      </c>
      <c r="BB296" s="393" t="e">
        <f t="shared" si="131"/>
        <v>#DIV/0!</v>
      </c>
    </row>
    <row r="297" spans="1:54" x14ac:dyDescent="0.25">
      <c r="A297" s="361" t="s">
        <v>974</v>
      </c>
      <c r="B297" s="480"/>
      <c r="C297" s="480"/>
      <c r="D297" s="480"/>
      <c r="E297" s="480"/>
      <c r="F297" s="480"/>
      <c r="G297" s="480"/>
      <c r="H297" s="480"/>
      <c r="I297" s="480"/>
      <c r="J297" s="480"/>
      <c r="K297" s="480"/>
      <c r="L297" s="480"/>
      <c r="M297" s="480"/>
      <c r="N297" s="480"/>
      <c r="O297" s="480"/>
      <c r="P297" s="480"/>
      <c r="Q297" s="480"/>
      <c r="R297" s="480"/>
      <c r="S297" s="480"/>
      <c r="T297" s="480"/>
      <c r="U297" s="480"/>
      <c r="V297" s="480"/>
      <c r="W297" s="480">
        <f>768/1200</f>
        <v>0.64</v>
      </c>
      <c r="X297" s="480"/>
      <c r="Y297" s="480"/>
      <c r="Z297" s="480"/>
      <c r="AA297" s="480"/>
      <c r="AB297" s="480"/>
      <c r="AC297" s="393" t="e">
        <f t="shared" si="106"/>
        <v>#DIV/0!</v>
      </c>
      <c r="AD297" s="393" t="e">
        <f t="shared" si="107"/>
        <v>#DIV/0!</v>
      </c>
      <c r="AE297" s="393" t="e">
        <f t="shared" si="108"/>
        <v>#DIV/0!</v>
      </c>
      <c r="AF297" s="393" t="e">
        <f t="shared" si="109"/>
        <v>#DIV/0!</v>
      </c>
      <c r="AG297" s="393" t="e">
        <f t="shared" si="110"/>
        <v>#DIV/0!</v>
      </c>
      <c r="AH297" s="393" t="e">
        <f t="shared" si="111"/>
        <v>#DIV/0!</v>
      </c>
      <c r="AI297" s="393" t="e">
        <f t="shared" si="112"/>
        <v>#DIV/0!</v>
      </c>
      <c r="AJ297" s="393" t="e">
        <f t="shared" si="113"/>
        <v>#DIV/0!</v>
      </c>
      <c r="AK297" s="393" t="e">
        <f t="shared" si="114"/>
        <v>#DIV/0!</v>
      </c>
      <c r="AL297" s="393" t="e">
        <f t="shared" si="115"/>
        <v>#DIV/0!</v>
      </c>
      <c r="AM297" s="393" t="e">
        <f t="shared" si="116"/>
        <v>#DIV/0!</v>
      </c>
      <c r="AN297" s="393" t="e">
        <f t="shared" si="117"/>
        <v>#DIV/0!</v>
      </c>
      <c r="AO297" s="393" t="e">
        <f t="shared" si="118"/>
        <v>#DIV/0!</v>
      </c>
      <c r="AP297" s="393" t="e">
        <f t="shared" si="119"/>
        <v>#DIV/0!</v>
      </c>
      <c r="AQ297" s="393" t="e">
        <f t="shared" si="120"/>
        <v>#DIV/0!</v>
      </c>
      <c r="AR297" s="393" t="e">
        <f t="shared" si="121"/>
        <v>#DIV/0!</v>
      </c>
      <c r="AS297" s="393" t="e">
        <f t="shared" si="122"/>
        <v>#DIV/0!</v>
      </c>
      <c r="AT297" s="393" t="e">
        <f t="shared" si="123"/>
        <v>#DIV/0!</v>
      </c>
      <c r="AU297" s="393" t="e">
        <f t="shared" si="124"/>
        <v>#DIV/0!</v>
      </c>
      <c r="AV297" s="393" t="e">
        <f t="shared" si="125"/>
        <v>#DIV/0!</v>
      </c>
      <c r="AW297" s="393" t="e">
        <f t="shared" si="126"/>
        <v>#DIV/0!</v>
      </c>
      <c r="AX297" s="393">
        <f t="shared" si="127"/>
        <v>-100</v>
      </c>
      <c r="AY297" s="393" t="e">
        <f t="shared" si="128"/>
        <v>#DIV/0!</v>
      </c>
      <c r="AZ297" s="393" t="e">
        <f t="shared" si="129"/>
        <v>#DIV/0!</v>
      </c>
      <c r="BA297" s="393" t="e">
        <f t="shared" si="130"/>
        <v>#DIV/0!</v>
      </c>
      <c r="BB297" s="393" t="e">
        <f t="shared" si="131"/>
        <v>#DIV/0!</v>
      </c>
    </row>
    <row r="298" spans="1:54" x14ac:dyDescent="0.25">
      <c r="A298" s="565" t="s">
        <v>3107</v>
      </c>
      <c r="B298" s="480">
        <f>1168/1800</f>
        <v>0.64890000000000003</v>
      </c>
      <c r="C298" s="480">
        <f>984/1800</f>
        <v>0.54669999999999996</v>
      </c>
      <c r="D298" s="480">
        <f>1134/1800</f>
        <v>0.63</v>
      </c>
      <c r="E298" s="480">
        <f>1125/1800</f>
        <v>0.625</v>
      </c>
      <c r="F298" s="480">
        <f>745/1200</f>
        <v>0.62080000000000002</v>
      </c>
      <c r="G298" s="480"/>
      <c r="H298" s="480"/>
      <c r="I298" s="480"/>
      <c r="J298" s="480"/>
      <c r="K298" s="480"/>
      <c r="L298" s="480"/>
      <c r="M298" s="480"/>
      <c r="N298" s="480"/>
      <c r="O298" s="480"/>
      <c r="P298" s="480"/>
      <c r="Q298" s="480"/>
      <c r="R298" s="480"/>
      <c r="S298" s="480"/>
      <c r="T298" s="480"/>
      <c r="U298" s="480"/>
      <c r="V298" s="480"/>
      <c r="W298" s="480"/>
      <c r="X298" s="480"/>
      <c r="Y298" s="480"/>
      <c r="Z298" s="480"/>
      <c r="AA298" s="480"/>
      <c r="AB298" s="480"/>
      <c r="AC298" s="393">
        <f t="shared" si="106"/>
        <v>-15.75</v>
      </c>
      <c r="AD298" s="393">
        <f t="shared" si="107"/>
        <v>15.237</v>
      </c>
      <c r="AE298" s="393">
        <f t="shared" si="108"/>
        <v>-0.79400000000000004</v>
      </c>
      <c r="AF298" s="393">
        <f t="shared" si="109"/>
        <v>-0.67200000000000004</v>
      </c>
      <c r="AG298" s="393">
        <f t="shared" si="110"/>
        <v>-100</v>
      </c>
      <c r="AH298" s="393" t="e">
        <f t="shared" si="111"/>
        <v>#DIV/0!</v>
      </c>
      <c r="AI298" s="393" t="e">
        <f t="shared" si="112"/>
        <v>#DIV/0!</v>
      </c>
      <c r="AJ298" s="393" t="e">
        <f t="shared" si="113"/>
        <v>#DIV/0!</v>
      </c>
      <c r="AK298" s="393" t="e">
        <f t="shared" si="114"/>
        <v>#DIV/0!</v>
      </c>
      <c r="AL298" s="393" t="e">
        <f t="shared" si="115"/>
        <v>#DIV/0!</v>
      </c>
      <c r="AM298" s="393" t="e">
        <f t="shared" si="116"/>
        <v>#DIV/0!</v>
      </c>
      <c r="AN298" s="393" t="e">
        <f t="shared" si="117"/>
        <v>#DIV/0!</v>
      </c>
      <c r="AO298" s="393" t="e">
        <f t="shared" si="118"/>
        <v>#DIV/0!</v>
      </c>
      <c r="AP298" s="393" t="e">
        <f t="shared" si="119"/>
        <v>#DIV/0!</v>
      </c>
      <c r="AQ298" s="393" t="e">
        <f t="shared" si="120"/>
        <v>#DIV/0!</v>
      </c>
      <c r="AR298" s="393" t="e">
        <f t="shared" si="121"/>
        <v>#DIV/0!</v>
      </c>
      <c r="AS298" s="393" t="e">
        <f t="shared" si="122"/>
        <v>#DIV/0!</v>
      </c>
      <c r="AT298" s="393" t="e">
        <f t="shared" si="123"/>
        <v>#DIV/0!</v>
      </c>
      <c r="AU298" s="393" t="e">
        <f t="shared" si="124"/>
        <v>#DIV/0!</v>
      </c>
      <c r="AV298" s="393" t="e">
        <f t="shared" si="125"/>
        <v>#DIV/0!</v>
      </c>
      <c r="AW298" s="393" t="e">
        <f t="shared" si="126"/>
        <v>#DIV/0!</v>
      </c>
      <c r="AX298" s="393" t="e">
        <f t="shared" si="127"/>
        <v>#DIV/0!</v>
      </c>
      <c r="AY298" s="393" t="e">
        <f t="shared" si="128"/>
        <v>#DIV/0!</v>
      </c>
      <c r="AZ298" s="393" t="e">
        <f t="shared" si="129"/>
        <v>#DIV/0!</v>
      </c>
      <c r="BA298" s="393" t="e">
        <f t="shared" si="130"/>
        <v>#DIV/0!</v>
      </c>
      <c r="BB298" s="393" t="e">
        <f t="shared" si="131"/>
        <v>#DIV/0!</v>
      </c>
    </row>
    <row r="299" spans="1:54" x14ac:dyDescent="0.25">
      <c r="A299" s="360" t="s">
        <v>1210</v>
      </c>
      <c r="B299" s="480"/>
      <c r="C299" s="480"/>
      <c r="D299" s="480">
        <f>1090/1800</f>
        <v>0.60560000000000003</v>
      </c>
      <c r="E299" s="480"/>
      <c r="F299" s="480"/>
      <c r="G299" s="480"/>
      <c r="H299" s="480"/>
      <c r="I299" s="480"/>
      <c r="J299" s="480"/>
      <c r="K299" s="480"/>
      <c r="L299" s="480"/>
      <c r="M299" s="480"/>
      <c r="N299" s="480"/>
      <c r="O299" s="480"/>
      <c r="P299" s="480"/>
      <c r="Q299" s="480"/>
      <c r="R299" s="480"/>
      <c r="S299" s="480"/>
      <c r="T299" s="480"/>
      <c r="U299" s="480"/>
      <c r="V299" s="480"/>
      <c r="W299" s="480"/>
      <c r="X299" s="480"/>
      <c r="Y299" s="480"/>
      <c r="Z299" s="480"/>
      <c r="AA299" s="480"/>
      <c r="AB299" s="480"/>
      <c r="AC299" s="393" t="e">
        <f t="shared" si="106"/>
        <v>#DIV/0!</v>
      </c>
      <c r="AD299" s="393" t="e">
        <f t="shared" si="107"/>
        <v>#DIV/0!</v>
      </c>
      <c r="AE299" s="393">
        <f t="shared" si="108"/>
        <v>-100</v>
      </c>
      <c r="AF299" s="393" t="e">
        <f t="shared" si="109"/>
        <v>#DIV/0!</v>
      </c>
      <c r="AG299" s="393" t="e">
        <f t="shared" si="110"/>
        <v>#DIV/0!</v>
      </c>
      <c r="AH299" s="393" t="e">
        <f t="shared" si="111"/>
        <v>#DIV/0!</v>
      </c>
      <c r="AI299" s="393" t="e">
        <f t="shared" si="112"/>
        <v>#DIV/0!</v>
      </c>
      <c r="AJ299" s="393" t="e">
        <f t="shared" si="113"/>
        <v>#DIV/0!</v>
      </c>
      <c r="AK299" s="393" t="e">
        <f t="shared" si="114"/>
        <v>#DIV/0!</v>
      </c>
      <c r="AL299" s="393" t="e">
        <f t="shared" si="115"/>
        <v>#DIV/0!</v>
      </c>
      <c r="AM299" s="393" t="e">
        <f t="shared" si="116"/>
        <v>#DIV/0!</v>
      </c>
      <c r="AN299" s="393" t="e">
        <f t="shared" si="117"/>
        <v>#DIV/0!</v>
      </c>
      <c r="AO299" s="393" t="e">
        <f t="shared" si="118"/>
        <v>#DIV/0!</v>
      </c>
      <c r="AP299" s="393" t="e">
        <f t="shared" si="119"/>
        <v>#DIV/0!</v>
      </c>
      <c r="AQ299" s="393" t="e">
        <f t="shared" si="120"/>
        <v>#DIV/0!</v>
      </c>
      <c r="AR299" s="393" t="e">
        <f t="shared" si="121"/>
        <v>#DIV/0!</v>
      </c>
      <c r="AS299" s="393" t="e">
        <f t="shared" si="122"/>
        <v>#DIV/0!</v>
      </c>
      <c r="AT299" s="393" t="e">
        <f t="shared" si="123"/>
        <v>#DIV/0!</v>
      </c>
      <c r="AU299" s="393" t="e">
        <f t="shared" si="124"/>
        <v>#DIV/0!</v>
      </c>
      <c r="AV299" s="393" t="e">
        <f t="shared" si="125"/>
        <v>#DIV/0!</v>
      </c>
      <c r="AW299" s="393" t="e">
        <f t="shared" si="126"/>
        <v>#DIV/0!</v>
      </c>
      <c r="AX299" s="393" t="e">
        <f t="shared" si="127"/>
        <v>#DIV/0!</v>
      </c>
      <c r="AY299" s="393" t="e">
        <f t="shared" si="128"/>
        <v>#DIV/0!</v>
      </c>
      <c r="AZ299" s="393" t="e">
        <f t="shared" si="129"/>
        <v>#DIV/0!</v>
      </c>
      <c r="BA299" s="393" t="e">
        <f t="shared" si="130"/>
        <v>#DIV/0!</v>
      </c>
      <c r="BB299" s="393" t="e">
        <f t="shared" si="131"/>
        <v>#DIV/0!</v>
      </c>
    </row>
    <row r="300" spans="1:54" x14ac:dyDescent="0.25">
      <c r="A300" s="361" t="s">
        <v>1193</v>
      </c>
      <c r="B300" s="480"/>
      <c r="C300" s="480"/>
      <c r="D300" s="480"/>
      <c r="E300" s="480"/>
      <c r="F300" s="480"/>
      <c r="G300" s="480"/>
      <c r="H300" s="480"/>
      <c r="I300" s="480"/>
      <c r="J300" s="480"/>
      <c r="K300" s="480"/>
      <c r="L300" s="480"/>
      <c r="M300" s="480"/>
      <c r="N300" s="480"/>
      <c r="O300" s="480"/>
      <c r="P300" s="480"/>
      <c r="Q300" s="480"/>
      <c r="R300" s="480"/>
      <c r="S300" s="480"/>
      <c r="T300" s="480"/>
      <c r="U300" s="480"/>
      <c r="V300" s="480"/>
      <c r="W300" s="480">
        <f>665/1200</f>
        <v>0.55420000000000003</v>
      </c>
      <c r="X300" s="480"/>
      <c r="Y300" s="480"/>
      <c r="Z300" s="480"/>
      <c r="AA300" s="480"/>
      <c r="AB300" s="480"/>
      <c r="AC300" s="393" t="e">
        <f t="shared" si="106"/>
        <v>#DIV/0!</v>
      </c>
      <c r="AD300" s="393" t="e">
        <f t="shared" si="107"/>
        <v>#DIV/0!</v>
      </c>
      <c r="AE300" s="393" t="e">
        <f t="shared" si="108"/>
        <v>#DIV/0!</v>
      </c>
      <c r="AF300" s="393" t="e">
        <f t="shared" si="109"/>
        <v>#DIV/0!</v>
      </c>
      <c r="AG300" s="393" t="e">
        <f t="shared" si="110"/>
        <v>#DIV/0!</v>
      </c>
      <c r="AH300" s="393" t="e">
        <f t="shared" si="111"/>
        <v>#DIV/0!</v>
      </c>
      <c r="AI300" s="393" t="e">
        <f t="shared" si="112"/>
        <v>#DIV/0!</v>
      </c>
      <c r="AJ300" s="393" t="e">
        <f t="shared" si="113"/>
        <v>#DIV/0!</v>
      </c>
      <c r="AK300" s="393" t="e">
        <f t="shared" si="114"/>
        <v>#DIV/0!</v>
      </c>
      <c r="AL300" s="393" t="e">
        <f t="shared" si="115"/>
        <v>#DIV/0!</v>
      </c>
      <c r="AM300" s="393" t="e">
        <f t="shared" si="116"/>
        <v>#DIV/0!</v>
      </c>
      <c r="AN300" s="393" t="e">
        <f t="shared" si="117"/>
        <v>#DIV/0!</v>
      </c>
      <c r="AO300" s="393" t="e">
        <f t="shared" si="118"/>
        <v>#DIV/0!</v>
      </c>
      <c r="AP300" s="393" t="e">
        <f t="shared" si="119"/>
        <v>#DIV/0!</v>
      </c>
      <c r="AQ300" s="393" t="e">
        <f t="shared" si="120"/>
        <v>#DIV/0!</v>
      </c>
      <c r="AR300" s="393" t="e">
        <f t="shared" si="121"/>
        <v>#DIV/0!</v>
      </c>
      <c r="AS300" s="393" t="e">
        <f t="shared" si="122"/>
        <v>#DIV/0!</v>
      </c>
      <c r="AT300" s="393" t="e">
        <f t="shared" si="123"/>
        <v>#DIV/0!</v>
      </c>
      <c r="AU300" s="393" t="e">
        <f t="shared" si="124"/>
        <v>#DIV/0!</v>
      </c>
      <c r="AV300" s="393" t="e">
        <f t="shared" si="125"/>
        <v>#DIV/0!</v>
      </c>
      <c r="AW300" s="393" t="e">
        <f t="shared" si="126"/>
        <v>#DIV/0!</v>
      </c>
      <c r="AX300" s="393">
        <f t="shared" si="127"/>
        <v>-100</v>
      </c>
      <c r="AY300" s="393" t="e">
        <f t="shared" si="128"/>
        <v>#DIV/0!</v>
      </c>
      <c r="AZ300" s="393" t="e">
        <f t="shared" si="129"/>
        <v>#DIV/0!</v>
      </c>
      <c r="BA300" s="393" t="e">
        <f t="shared" si="130"/>
        <v>#DIV/0!</v>
      </c>
      <c r="BB300" s="393" t="e">
        <f t="shared" si="131"/>
        <v>#DIV/0!</v>
      </c>
    </row>
    <row r="301" spans="1:54" x14ac:dyDescent="0.25">
      <c r="A301" s="361" t="s">
        <v>3583</v>
      </c>
      <c r="B301" s="480"/>
      <c r="C301" s="480"/>
      <c r="D301" s="480"/>
      <c r="E301" s="480"/>
      <c r="F301" s="480"/>
      <c r="G301" s="480"/>
      <c r="H301" s="480"/>
      <c r="I301" s="480"/>
      <c r="J301" s="480"/>
      <c r="K301" s="480">
        <f>661/1200</f>
        <v>0.55079999999999996</v>
      </c>
      <c r="L301" s="480">
        <f>730/1200</f>
        <v>0.60829999999999995</v>
      </c>
      <c r="M301" s="480">
        <f>805/1200</f>
        <v>0.67079999999999995</v>
      </c>
      <c r="N301" s="480">
        <f>673/1200</f>
        <v>0.56079999999999997</v>
      </c>
      <c r="O301" s="480">
        <f>693/1200</f>
        <v>0.57750000000000001</v>
      </c>
      <c r="P301" s="480">
        <f>1071/1800</f>
        <v>0.59499999999999997</v>
      </c>
      <c r="Q301" s="480">
        <f>1139/1800</f>
        <v>0.63280000000000003</v>
      </c>
      <c r="R301" s="480">
        <f>1142/1800</f>
        <v>0.63439999999999996</v>
      </c>
      <c r="S301" s="480">
        <f>1140/1800</f>
        <v>0.63329999999999997</v>
      </c>
      <c r="T301" s="480"/>
      <c r="U301" s="480"/>
      <c r="V301" s="480"/>
      <c r="W301" s="480"/>
      <c r="X301" s="480"/>
      <c r="Y301" s="480"/>
      <c r="Z301" s="480"/>
      <c r="AA301" s="480"/>
      <c r="AB301" s="480"/>
      <c r="AC301" s="393" t="e">
        <f t="shared" si="106"/>
        <v>#DIV/0!</v>
      </c>
      <c r="AD301" s="393" t="e">
        <f t="shared" si="107"/>
        <v>#DIV/0!</v>
      </c>
      <c r="AE301" s="393" t="e">
        <f t="shared" si="108"/>
        <v>#DIV/0!</v>
      </c>
      <c r="AF301" s="393" t="e">
        <f t="shared" si="109"/>
        <v>#DIV/0!</v>
      </c>
      <c r="AG301" s="393" t="e">
        <f t="shared" si="110"/>
        <v>#DIV/0!</v>
      </c>
      <c r="AH301" s="393" t="e">
        <f t="shared" si="111"/>
        <v>#DIV/0!</v>
      </c>
      <c r="AI301" s="393" t="e">
        <f t="shared" si="112"/>
        <v>#DIV/0!</v>
      </c>
      <c r="AJ301" s="393" t="e">
        <f t="shared" si="113"/>
        <v>#DIV/0!</v>
      </c>
      <c r="AK301" s="393" t="e">
        <f t="shared" si="114"/>
        <v>#DIV/0!</v>
      </c>
      <c r="AL301" s="393">
        <f t="shared" si="115"/>
        <v>10.439</v>
      </c>
      <c r="AM301" s="393">
        <f t="shared" si="116"/>
        <v>10.275</v>
      </c>
      <c r="AN301" s="393">
        <f t="shared" si="117"/>
        <v>-16.398</v>
      </c>
      <c r="AO301" s="393">
        <f t="shared" si="118"/>
        <v>2.9780000000000002</v>
      </c>
      <c r="AP301" s="393">
        <f t="shared" si="119"/>
        <v>3.03</v>
      </c>
      <c r="AQ301" s="393">
        <f t="shared" si="120"/>
        <v>6.3529999999999998</v>
      </c>
      <c r="AR301" s="393">
        <f t="shared" si="121"/>
        <v>0.253</v>
      </c>
      <c r="AS301" s="393">
        <f t="shared" si="122"/>
        <v>-0.17299999999999999</v>
      </c>
      <c r="AT301" s="393">
        <f t="shared" si="123"/>
        <v>-100</v>
      </c>
      <c r="AU301" s="393" t="e">
        <f t="shared" si="124"/>
        <v>#DIV/0!</v>
      </c>
      <c r="AV301" s="393" t="e">
        <f t="shared" si="125"/>
        <v>#DIV/0!</v>
      </c>
      <c r="AW301" s="393" t="e">
        <f t="shared" si="126"/>
        <v>#DIV/0!</v>
      </c>
      <c r="AX301" s="393" t="e">
        <f t="shared" si="127"/>
        <v>#DIV/0!</v>
      </c>
      <c r="AY301" s="393" t="e">
        <f t="shared" si="128"/>
        <v>#DIV/0!</v>
      </c>
      <c r="AZ301" s="393" t="e">
        <f t="shared" si="129"/>
        <v>#DIV/0!</v>
      </c>
      <c r="BA301" s="393" t="e">
        <f t="shared" si="130"/>
        <v>#DIV/0!</v>
      </c>
      <c r="BB301" s="393" t="e">
        <f t="shared" si="131"/>
        <v>#DIV/0!</v>
      </c>
    </row>
    <row r="302" spans="1:54" x14ac:dyDescent="0.25">
      <c r="A302" s="360" t="s">
        <v>4769</v>
      </c>
      <c r="B302" s="480"/>
      <c r="C302" s="480"/>
      <c r="D302" s="480"/>
      <c r="E302" s="480"/>
      <c r="F302" s="480"/>
      <c r="G302" s="480"/>
      <c r="H302" s="480"/>
      <c r="I302" s="480"/>
      <c r="J302" s="480"/>
      <c r="K302" s="480"/>
      <c r="L302" s="480"/>
      <c r="M302" s="480"/>
      <c r="N302" s="480"/>
      <c r="O302" s="480"/>
      <c r="P302" s="480"/>
      <c r="Q302" s="480"/>
      <c r="R302" s="480"/>
      <c r="S302" s="480"/>
      <c r="T302" s="480"/>
      <c r="U302" s="480"/>
      <c r="V302" s="480"/>
      <c r="W302" s="480"/>
      <c r="X302" s="480"/>
      <c r="Y302" s="480"/>
      <c r="Z302" s="480"/>
      <c r="AA302" s="480"/>
      <c r="AB302" s="480">
        <v>0.64300000000000002</v>
      </c>
      <c r="AC302" s="393" t="e">
        <f t="shared" si="106"/>
        <v>#DIV/0!</v>
      </c>
      <c r="AD302" s="393" t="e">
        <f t="shared" si="107"/>
        <v>#DIV/0!</v>
      </c>
      <c r="AE302" s="393" t="e">
        <f t="shared" si="108"/>
        <v>#DIV/0!</v>
      </c>
      <c r="AF302" s="393" t="e">
        <f t="shared" si="109"/>
        <v>#DIV/0!</v>
      </c>
      <c r="AG302" s="393" t="e">
        <f t="shared" si="110"/>
        <v>#DIV/0!</v>
      </c>
      <c r="AH302" s="393" t="e">
        <f t="shared" si="111"/>
        <v>#DIV/0!</v>
      </c>
      <c r="AI302" s="393" t="e">
        <f t="shared" si="112"/>
        <v>#DIV/0!</v>
      </c>
      <c r="AJ302" s="393" t="e">
        <f t="shared" si="113"/>
        <v>#DIV/0!</v>
      </c>
      <c r="AK302" s="393" t="e">
        <f t="shared" si="114"/>
        <v>#DIV/0!</v>
      </c>
      <c r="AL302" s="393" t="e">
        <f t="shared" si="115"/>
        <v>#DIV/0!</v>
      </c>
      <c r="AM302" s="393" t="e">
        <f t="shared" si="116"/>
        <v>#DIV/0!</v>
      </c>
      <c r="AN302" s="393" t="e">
        <f t="shared" si="117"/>
        <v>#DIV/0!</v>
      </c>
      <c r="AO302" s="393" t="e">
        <f t="shared" si="118"/>
        <v>#DIV/0!</v>
      </c>
      <c r="AP302" s="393" t="e">
        <f t="shared" si="119"/>
        <v>#DIV/0!</v>
      </c>
      <c r="AQ302" s="393" t="e">
        <f t="shared" si="120"/>
        <v>#DIV/0!</v>
      </c>
      <c r="AR302" s="393" t="e">
        <f t="shared" si="121"/>
        <v>#DIV/0!</v>
      </c>
      <c r="AS302" s="393" t="e">
        <f t="shared" si="122"/>
        <v>#DIV/0!</v>
      </c>
      <c r="AT302" s="393" t="e">
        <f t="shared" si="123"/>
        <v>#DIV/0!</v>
      </c>
      <c r="AU302" s="393" t="e">
        <f t="shared" si="124"/>
        <v>#DIV/0!</v>
      </c>
      <c r="AV302" s="393" t="e">
        <f t="shared" si="125"/>
        <v>#DIV/0!</v>
      </c>
      <c r="AW302" s="393" t="e">
        <f t="shared" si="126"/>
        <v>#DIV/0!</v>
      </c>
      <c r="AX302" s="393" t="e">
        <f t="shared" si="127"/>
        <v>#DIV/0!</v>
      </c>
      <c r="AY302" s="393" t="e">
        <f t="shared" si="128"/>
        <v>#DIV/0!</v>
      </c>
      <c r="AZ302" s="393" t="e">
        <f t="shared" si="129"/>
        <v>#DIV/0!</v>
      </c>
      <c r="BA302" s="393" t="e">
        <f t="shared" si="130"/>
        <v>#DIV/0!</v>
      </c>
      <c r="BB302" s="393" t="e">
        <f t="shared" si="131"/>
        <v>#DIV/0!</v>
      </c>
    </row>
    <row r="303" spans="1:54" x14ac:dyDescent="0.25">
      <c r="A303" s="361" t="s">
        <v>1332</v>
      </c>
      <c r="B303" s="480"/>
      <c r="C303" s="480"/>
      <c r="D303" s="480"/>
      <c r="E303" s="480"/>
      <c r="F303" s="480"/>
      <c r="G303" s="480"/>
      <c r="H303" s="480"/>
      <c r="I303" s="480"/>
      <c r="J303" s="480"/>
      <c r="K303" s="480"/>
      <c r="L303" s="480"/>
      <c r="M303" s="480"/>
      <c r="N303" s="480"/>
      <c r="O303" s="480"/>
      <c r="P303" s="480"/>
      <c r="Q303" s="480"/>
      <c r="R303" s="480"/>
      <c r="S303" s="480">
        <f>1219/1800</f>
        <v>0.67720000000000002</v>
      </c>
      <c r="T303" s="480">
        <f>806/1200</f>
        <v>0.67169999999999996</v>
      </c>
      <c r="U303" s="480"/>
      <c r="V303" s="480"/>
      <c r="W303" s="480"/>
      <c r="X303" s="480"/>
      <c r="Y303" s="480"/>
      <c r="Z303" s="480"/>
      <c r="AA303" s="480"/>
      <c r="AB303" s="480"/>
      <c r="AC303" s="393" t="e">
        <f t="shared" si="106"/>
        <v>#DIV/0!</v>
      </c>
      <c r="AD303" s="393" t="e">
        <f t="shared" si="107"/>
        <v>#DIV/0!</v>
      </c>
      <c r="AE303" s="393" t="e">
        <f t="shared" si="108"/>
        <v>#DIV/0!</v>
      </c>
      <c r="AF303" s="393" t="e">
        <f t="shared" si="109"/>
        <v>#DIV/0!</v>
      </c>
      <c r="AG303" s="393" t="e">
        <f t="shared" si="110"/>
        <v>#DIV/0!</v>
      </c>
      <c r="AH303" s="393" t="e">
        <f t="shared" si="111"/>
        <v>#DIV/0!</v>
      </c>
      <c r="AI303" s="393" t="e">
        <f t="shared" si="112"/>
        <v>#DIV/0!</v>
      </c>
      <c r="AJ303" s="393" t="e">
        <f t="shared" si="113"/>
        <v>#DIV/0!</v>
      </c>
      <c r="AK303" s="393" t="e">
        <f t="shared" si="114"/>
        <v>#DIV/0!</v>
      </c>
      <c r="AL303" s="393" t="e">
        <f t="shared" si="115"/>
        <v>#DIV/0!</v>
      </c>
      <c r="AM303" s="393" t="e">
        <f t="shared" si="116"/>
        <v>#DIV/0!</v>
      </c>
      <c r="AN303" s="393" t="e">
        <f t="shared" si="117"/>
        <v>#DIV/0!</v>
      </c>
      <c r="AO303" s="393" t="e">
        <f t="shared" si="118"/>
        <v>#DIV/0!</v>
      </c>
      <c r="AP303" s="393" t="e">
        <f t="shared" si="119"/>
        <v>#DIV/0!</v>
      </c>
      <c r="AQ303" s="393" t="e">
        <f t="shared" si="120"/>
        <v>#DIV/0!</v>
      </c>
      <c r="AR303" s="393" t="e">
        <f t="shared" si="121"/>
        <v>#DIV/0!</v>
      </c>
      <c r="AS303" s="393" t="e">
        <f t="shared" si="122"/>
        <v>#DIV/0!</v>
      </c>
      <c r="AT303" s="393">
        <f t="shared" si="123"/>
        <v>-0.81200000000000006</v>
      </c>
      <c r="AU303" s="393">
        <f t="shared" si="124"/>
        <v>-100</v>
      </c>
      <c r="AV303" s="393" t="e">
        <f t="shared" si="125"/>
        <v>#DIV/0!</v>
      </c>
      <c r="AW303" s="393" t="e">
        <f t="shared" si="126"/>
        <v>#DIV/0!</v>
      </c>
      <c r="AX303" s="393" t="e">
        <f t="shared" si="127"/>
        <v>#DIV/0!</v>
      </c>
      <c r="AY303" s="393" t="e">
        <f t="shared" si="128"/>
        <v>#DIV/0!</v>
      </c>
      <c r="AZ303" s="393" t="e">
        <f t="shared" si="129"/>
        <v>#DIV/0!</v>
      </c>
      <c r="BA303" s="393" t="e">
        <f t="shared" si="130"/>
        <v>#DIV/0!</v>
      </c>
      <c r="BB303" s="393" t="e">
        <f t="shared" si="131"/>
        <v>#DIV/0!</v>
      </c>
    </row>
    <row r="304" spans="1:54" x14ac:dyDescent="0.25">
      <c r="A304" s="361" t="s">
        <v>3584</v>
      </c>
      <c r="B304" s="480"/>
      <c r="C304" s="480"/>
      <c r="D304" s="480"/>
      <c r="E304" s="480"/>
      <c r="F304" s="480"/>
      <c r="G304" s="480"/>
      <c r="H304" s="480"/>
      <c r="I304" s="480"/>
      <c r="J304" s="480"/>
      <c r="K304" s="480"/>
      <c r="L304" s="480"/>
      <c r="M304" s="480">
        <f>739/1200</f>
        <v>0.61580000000000001</v>
      </c>
      <c r="N304" s="480">
        <f>781/1200</f>
        <v>0.65080000000000005</v>
      </c>
      <c r="O304" s="480"/>
      <c r="P304" s="480"/>
      <c r="Q304" s="480"/>
      <c r="R304" s="480"/>
      <c r="S304" s="480"/>
      <c r="T304" s="480"/>
      <c r="U304" s="480"/>
      <c r="V304" s="480"/>
      <c r="W304" s="480"/>
      <c r="X304" s="480"/>
      <c r="Y304" s="480"/>
      <c r="Z304" s="480"/>
      <c r="AA304" s="480"/>
      <c r="AB304" s="480"/>
      <c r="AC304" s="393" t="e">
        <f t="shared" si="106"/>
        <v>#DIV/0!</v>
      </c>
      <c r="AD304" s="393" t="e">
        <f t="shared" si="107"/>
        <v>#DIV/0!</v>
      </c>
      <c r="AE304" s="393" t="e">
        <f t="shared" si="108"/>
        <v>#DIV/0!</v>
      </c>
      <c r="AF304" s="393" t="e">
        <f t="shared" si="109"/>
        <v>#DIV/0!</v>
      </c>
      <c r="AG304" s="393" t="e">
        <f t="shared" si="110"/>
        <v>#DIV/0!</v>
      </c>
      <c r="AH304" s="393" t="e">
        <f t="shared" si="111"/>
        <v>#DIV/0!</v>
      </c>
      <c r="AI304" s="393" t="e">
        <f t="shared" si="112"/>
        <v>#DIV/0!</v>
      </c>
      <c r="AJ304" s="393" t="e">
        <f t="shared" si="113"/>
        <v>#DIV/0!</v>
      </c>
      <c r="AK304" s="393" t="e">
        <f t="shared" si="114"/>
        <v>#DIV/0!</v>
      </c>
      <c r="AL304" s="393" t="e">
        <f t="shared" si="115"/>
        <v>#DIV/0!</v>
      </c>
      <c r="AM304" s="393" t="e">
        <f t="shared" si="116"/>
        <v>#DIV/0!</v>
      </c>
      <c r="AN304" s="393">
        <f t="shared" si="117"/>
        <v>5.6840000000000002</v>
      </c>
      <c r="AO304" s="393">
        <f t="shared" si="118"/>
        <v>-100</v>
      </c>
      <c r="AP304" s="393" t="e">
        <f t="shared" si="119"/>
        <v>#DIV/0!</v>
      </c>
      <c r="AQ304" s="393" t="e">
        <f t="shared" si="120"/>
        <v>#DIV/0!</v>
      </c>
      <c r="AR304" s="393" t="e">
        <f t="shared" si="121"/>
        <v>#DIV/0!</v>
      </c>
      <c r="AS304" s="393" t="e">
        <f t="shared" si="122"/>
        <v>#DIV/0!</v>
      </c>
      <c r="AT304" s="393" t="e">
        <f t="shared" si="123"/>
        <v>#DIV/0!</v>
      </c>
      <c r="AU304" s="393" t="e">
        <f t="shared" si="124"/>
        <v>#DIV/0!</v>
      </c>
      <c r="AV304" s="393" t="e">
        <f t="shared" si="125"/>
        <v>#DIV/0!</v>
      </c>
      <c r="AW304" s="393" t="e">
        <f t="shared" si="126"/>
        <v>#DIV/0!</v>
      </c>
      <c r="AX304" s="393" t="e">
        <f t="shared" si="127"/>
        <v>#DIV/0!</v>
      </c>
      <c r="AY304" s="393" t="e">
        <f t="shared" si="128"/>
        <v>#DIV/0!</v>
      </c>
      <c r="AZ304" s="393" t="e">
        <f t="shared" si="129"/>
        <v>#DIV/0!</v>
      </c>
      <c r="BA304" s="393" t="e">
        <f t="shared" si="130"/>
        <v>#DIV/0!</v>
      </c>
      <c r="BB304" s="393" t="e">
        <f t="shared" si="131"/>
        <v>#DIV/0!</v>
      </c>
    </row>
    <row r="305" spans="1:54" x14ac:dyDescent="0.25">
      <c r="A305" s="361" t="s">
        <v>3343</v>
      </c>
      <c r="B305" s="480"/>
      <c r="C305" s="480"/>
      <c r="D305" s="480"/>
      <c r="E305" s="480"/>
      <c r="F305" s="480"/>
      <c r="G305" s="480"/>
      <c r="H305" s="480"/>
      <c r="I305" s="480"/>
      <c r="J305" s="480"/>
      <c r="K305" s="480"/>
      <c r="L305" s="480"/>
      <c r="M305" s="480"/>
      <c r="N305" s="480"/>
      <c r="O305" s="480"/>
      <c r="P305" s="480"/>
      <c r="Q305" s="480"/>
      <c r="R305" s="480">
        <f>1176/1800</f>
        <v>0.65329999999999999</v>
      </c>
      <c r="S305" s="480">
        <f>1147/1800</f>
        <v>0.63719999999999999</v>
      </c>
      <c r="T305" s="480">
        <f>724/1200</f>
        <v>0.60329999999999995</v>
      </c>
      <c r="U305" s="480"/>
      <c r="V305" s="480"/>
      <c r="W305" s="480"/>
      <c r="X305" s="480"/>
      <c r="Y305" s="480"/>
      <c r="Z305" s="480"/>
      <c r="AA305" s="480"/>
      <c r="AB305" s="480"/>
      <c r="AC305" s="393" t="e">
        <f t="shared" si="106"/>
        <v>#DIV/0!</v>
      </c>
      <c r="AD305" s="393" t="e">
        <f t="shared" si="107"/>
        <v>#DIV/0!</v>
      </c>
      <c r="AE305" s="393" t="e">
        <f t="shared" si="108"/>
        <v>#DIV/0!</v>
      </c>
      <c r="AF305" s="393" t="e">
        <f t="shared" si="109"/>
        <v>#DIV/0!</v>
      </c>
      <c r="AG305" s="393" t="e">
        <f t="shared" si="110"/>
        <v>#DIV/0!</v>
      </c>
      <c r="AH305" s="393" t="e">
        <f t="shared" si="111"/>
        <v>#DIV/0!</v>
      </c>
      <c r="AI305" s="393" t="e">
        <f t="shared" si="112"/>
        <v>#DIV/0!</v>
      </c>
      <c r="AJ305" s="393" t="e">
        <f t="shared" si="113"/>
        <v>#DIV/0!</v>
      </c>
      <c r="AK305" s="393" t="e">
        <f t="shared" si="114"/>
        <v>#DIV/0!</v>
      </c>
      <c r="AL305" s="393" t="e">
        <f t="shared" si="115"/>
        <v>#DIV/0!</v>
      </c>
      <c r="AM305" s="393" t="e">
        <f t="shared" si="116"/>
        <v>#DIV/0!</v>
      </c>
      <c r="AN305" s="393" t="e">
        <f t="shared" si="117"/>
        <v>#DIV/0!</v>
      </c>
      <c r="AO305" s="393" t="e">
        <f t="shared" si="118"/>
        <v>#DIV/0!</v>
      </c>
      <c r="AP305" s="393" t="e">
        <f t="shared" si="119"/>
        <v>#DIV/0!</v>
      </c>
      <c r="AQ305" s="393" t="e">
        <f t="shared" si="120"/>
        <v>#DIV/0!</v>
      </c>
      <c r="AR305" s="393" t="e">
        <f t="shared" si="121"/>
        <v>#DIV/0!</v>
      </c>
      <c r="AS305" s="393">
        <f t="shared" si="122"/>
        <v>-2.464</v>
      </c>
      <c r="AT305" s="393">
        <f t="shared" si="123"/>
        <v>-5.32</v>
      </c>
      <c r="AU305" s="393">
        <f t="shared" si="124"/>
        <v>-100</v>
      </c>
      <c r="AV305" s="393" t="e">
        <f t="shared" si="125"/>
        <v>#DIV/0!</v>
      </c>
      <c r="AW305" s="393" t="e">
        <f t="shared" si="126"/>
        <v>#DIV/0!</v>
      </c>
      <c r="AX305" s="393" t="e">
        <f t="shared" si="127"/>
        <v>#DIV/0!</v>
      </c>
      <c r="AY305" s="393" t="e">
        <f t="shared" si="128"/>
        <v>#DIV/0!</v>
      </c>
      <c r="AZ305" s="393" t="e">
        <f t="shared" si="129"/>
        <v>#DIV/0!</v>
      </c>
      <c r="BA305" s="393" t="e">
        <f t="shared" si="130"/>
        <v>#DIV/0!</v>
      </c>
      <c r="BB305" s="393" t="e">
        <f t="shared" si="131"/>
        <v>#DIV/0!</v>
      </c>
    </row>
    <row r="306" spans="1:54" x14ac:dyDescent="0.25">
      <c r="A306" s="361" t="s">
        <v>3582</v>
      </c>
      <c r="B306" s="480"/>
      <c r="C306" s="480"/>
      <c r="D306" s="480"/>
      <c r="E306" s="480"/>
      <c r="F306" s="480"/>
      <c r="G306" s="480"/>
      <c r="H306" s="480">
        <f>720/1200</f>
        <v>0.6</v>
      </c>
      <c r="I306" s="480">
        <f>761/1200</f>
        <v>0.63419999999999999</v>
      </c>
      <c r="J306" s="480">
        <f>741/1200</f>
        <v>0.61750000000000005</v>
      </c>
      <c r="K306" s="480">
        <f>777/1200</f>
        <v>0.64749999999999996</v>
      </c>
      <c r="L306" s="480">
        <f>804/1200</f>
        <v>0.67</v>
      </c>
      <c r="M306" s="480"/>
      <c r="N306" s="480"/>
      <c r="O306" s="480"/>
      <c r="P306" s="480"/>
      <c r="Q306" s="480">
        <f>1085/1800</f>
        <v>0.6028</v>
      </c>
      <c r="R306" s="480"/>
      <c r="S306" s="480"/>
      <c r="T306" s="480"/>
      <c r="U306" s="480"/>
      <c r="V306" s="480"/>
      <c r="W306" s="480"/>
      <c r="X306" s="480"/>
      <c r="Y306" s="480"/>
      <c r="Z306" s="480"/>
      <c r="AA306" s="480"/>
      <c r="AB306" s="480"/>
      <c r="AC306" s="393" t="e">
        <f t="shared" si="106"/>
        <v>#DIV/0!</v>
      </c>
      <c r="AD306" s="393" t="e">
        <f t="shared" si="107"/>
        <v>#DIV/0!</v>
      </c>
      <c r="AE306" s="393" t="e">
        <f t="shared" si="108"/>
        <v>#DIV/0!</v>
      </c>
      <c r="AF306" s="393" t="e">
        <f t="shared" si="109"/>
        <v>#DIV/0!</v>
      </c>
      <c r="AG306" s="393" t="e">
        <f t="shared" si="110"/>
        <v>#DIV/0!</v>
      </c>
      <c r="AH306" s="393" t="e">
        <f t="shared" si="111"/>
        <v>#DIV/0!</v>
      </c>
      <c r="AI306" s="393">
        <f t="shared" si="112"/>
        <v>5.7</v>
      </c>
      <c r="AJ306" s="393">
        <f t="shared" si="113"/>
        <v>-2.633</v>
      </c>
      <c r="AK306" s="393">
        <f t="shared" si="114"/>
        <v>4.8579999999999997</v>
      </c>
      <c r="AL306" s="393">
        <f t="shared" si="115"/>
        <v>3.4750000000000001</v>
      </c>
      <c r="AM306" s="393">
        <f t="shared" si="116"/>
        <v>-100</v>
      </c>
      <c r="AN306" s="393" t="e">
        <f t="shared" si="117"/>
        <v>#DIV/0!</v>
      </c>
      <c r="AO306" s="393" t="e">
        <f t="shared" si="118"/>
        <v>#DIV/0!</v>
      </c>
      <c r="AP306" s="393" t="e">
        <f t="shared" si="119"/>
        <v>#DIV/0!</v>
      </c>
      <c r="AQ306" s="393" t="e">
        <f t="shared" si="120"/>
        <v>#DIV/0!</v>
      </c>
      <c r="AR306" s="393">
        <f t="shared" si="121"/>
        <v>-100</v>
      </c>
      <c r="AS306" s="393" t="e">
        <f t="shared" si="122"/>
        <v>#DIV/0!</v>
      </c>
      <c r="AT306" s="393" t="e">
        <f t="shared" si="123"/>
        <v>#DIV/0!</v>
      </c>
      <c r="AU306" s="393" t="e">
        <f t="shared" si="124"/>
        <v>#DIV/0!</v>
      </c>
      <c r="AV306" s="393" t="e">
        <f t="shared" si="125"/>
        <v>#DIV/0!</v>
      </c>
      <c r="AW306" s="393" t="e">
        <f t="shared" si="126"/>
        <v>#DIV/0!</v>
      </c>
      <c r="AX306" s="393" t="e">
        <f t="shared" si="127"/>
        <v>#DIV/0!</v>
      </c>
      <c r="AY306" s="393" t="e">
        <f t="shared" si="128"/>
        <v>#DIV/0!</v>
      </c>
      <c r="AZ306" s="393" t="e">
        <f t="shared" si="129"/>
        <v>#DIV/0!</v>
      </c>
      <c r="BA306" s="393" t="e">
        <f t="shared" si="130"/>
        <v>#DIV/0!</v>
      </c>
      <c r="BB306" s="393" t="e">
        <f t="shared" si="131"/>
        <v>#DIV/0!</v>
      </c>
    </row>
    <row r="307" spans="1:54" x14ac:dyDescent="0.25">
      <c r="A307" s="361" t="s">
        <v>3307</v>
      </c>
      <c r="B307" s="480"/>
      <c r="C307" s="480"/>
      <c r="D307" s="480"/>
      <c r="E307" s="480"/>
      <c r="F307" s="480"/>
      <c r="G307" s="480"/>
      <c r="H307" s="480"/>
      <c r="I307" s="480">
        <f>524/1200</f>
        <v>0.43669999999999998</v>
      </c>
      <c r="J307" s="480"/>
      <c r="K307" s="480"/>
      <c r="L307" s="480"/>
      <c r="M307" s="480"/>
      <c r="N307" s="480"/>
      <c r="O307" s="480"/>
      <c r="P307" s="480"/>
      <c r="Q307" s="480"/>
      <c r="R307" s="480"/>
      <c r="S307" s="480"/>
      <c r="T307" s="480"/>
      <c r="U307" s="480"/>
      <c r="V307" s="480"/>
      <c r="W307" s="480"/>
      <c r="X307" s="480"/>
      <c r="Y307" s="480"/>
      <c r="Z307" s="480"/>
      <c r="AA307" s="480"/>
      <c r="AB307" s="480"/>
      <c r="AC307" s="393" t="e">
        <f t="shared" si="106"/>
        <v>#DIV/0!</v>
      </c>
      <c r="AD307" s="393" t="e">
        <f t="shared" si="107"/>
        <v>#DIV/0!</v>
      </c>
      <c r="AE307" s="393" t="e">
        <f t="shared" si="108"/>
        <v>#DIV/0!</v>
      </c>
      <c r="AF307" s="393" t="e">
        <f t="shared" si="109"/>
        <v>#DIV/0!</v>
      </c>
      <c r="AG307" s="393" t="e">
        <f t="shared" si="110"/>
        <v>#DIV/0!</v>
      </c>
      <c r="AH307" s="393" t="e">
        <f t="shared" si="111"/>
        <v>#DIV/0!</v>
      </c>
      <c r="AI307" s="393" t="e">
        <f t="shared" si="112"/>
        <v>#DIV/0!</v>
      </c>
      <c r="AJ307" s="393">
        <f t="shared" si="113"/>
        <v>-100</v>
      </c>
      <c r="AK307" s="393" t="e">
        <f t="shared" si="114"/>
        <v>#DIV/0!</v>
      </c>
      <c r="AL307" s="393" t="e">
        <f t="shared" si="115"/>
        <v>#DIV/0!</v>
      </c>
      <c r="AM307" s="393" t="e">
        <f t="shared" si="116"/>
        <v>#DIV/0!</v>
      </c>
      <c r="AN307" s="393" t="e">
        <f t="shared" si="117"/>
        <v>#DIV/0!</v>
      </c>
      <c r="AO307" s="393" t="e">
        <f t="shared" si="118"/>
        <v>#DIV/0!</v>
      </c>
      <c r="AP307" s="393" t="e">
        <f t="shared" si="119"/>
        <v>#DIV/0!</v>
      </c>
      <c r="AQ307" s="393" t="e">
        <f t="shared" si="120"/>
        <v>#DIV/0!</v>
      </c>
      <c r="AR307" s="393" t="e">
        <f t="shared" si="121"/>
        <v>#DIV/0!</v>
      </c>
      <c r="AS307" s="393" t="e">
        <f t="shared" si="122"/>
        <v>#DIV/0!</v>
      </c>
      <c r="AT307" s="393" t="e">
        <f t="shared" si="123"/>
        <v>#DIV/0!</v>
      </c>
      <c r="AU307" s="393" t="e">
        <f t="shared" si="124"/>
        <v>#DIV/0!</v>
      </c>
      <c r="AV307" s="393" t="e">
        <f t="shared" si="125"/>
        <v>#DIV/0!</v>
      </c>
      <c r="AW307" s="393" t="e">
        <f t="shared" si="126"/>
        <v>#DIV/0!</v>
      </c>
      <c r="AX307" s="393" t="e">
        <f t="shared" si="127"/>
        <v>#DIV/0!</v>
      </c>
      <c r="AY307" s="393" t="e">
        <f t="shared" si="128"/>
        <v>#DIV/0!</v>
      </c>
      <c r="AZ307" s="393" t="e">
        <f t="shared" si="129"/>
        <v>#DIV/0!</v>
      </c>
      <c r="BA307" s="393" t="e">
        <f t="shared" si="130"/>
        <v>#DIV/0!</v>
      </c>
      <c r="BB307" s="393" t="e">
        <f t="shared" si="131"/>
        <v>#DIV/0!</v>
      </c>
    </row>
    <row r="308" spans="1:54" x14ac:dyDescent="0.25">
      <c r="A308" s="361" t="s">
        <v>2676</v>
      </c>
      <c r="B308" s="480"/>
      <c r="C308" s="480"/>
      <c r="D308" s="480"/>
      <c r="E308" s="480"/>
      <c r="F308" s="480"/>
      <c r="G308" s="480"/>
      <c r="H308" s="480"/>
      <c r="I308" s="480"/>
      <c r="J308" s="480"/>
      <c r="K308" s="480"/>
      <c r="L308" s="480"/>
      <c r="M308" s="480">
        <f>671/1200</f>
        <v>0.55920000000000003</v>
      </c>
      <c r="N308" s="480"/>
      <c r="O308" s="480"/>
      <c r="P308" s="480"/>
      <c r="Q308" s="480">
        <f>1062/1800</f>
        <v>0.59</v>
      </c>
      <c r="R308" s="480"/>
      <c r="S308" s="480">
        <f>1101/1800</f>
        <v>0.61170000000000002</v>
      </c>
      <c r="T308" s="480"/>
      <c r="U308" s="480"/>
      <c r="V308" s="480"/>
      <c r="W308" s="480"/>
      <c r="X308" s="480"/>
      <c r="Y308" s="480"/>
      <c r="Z308" s="480"/>
      <c r="AA308" s="480"/>
      <c r="AB308" s="480"/>
      <c r="AC308" s="393" t="e">
        <f t="shared" si="106"/>
        <v>#DIV/0!</v>
      </c>
      <c r="AD308" s="393" t="e">
        <f t="shared" si="107"/>
        <v>#DIV/0!</v>
      </c>
      <c r="AE308" s="393" t="e">
        <f t="shared" si="108"/>
        <v>#DIV/0!</v>
      </c>
      <c r="AF308" s="393" t="e">
        <f t="shared" si="109"/>
        <v>#DIV/0!</v>
      </c>
      <c r="AG308" s="393" t="e">
        <f t="shared" si="110"/>
        <v>#DIV/0!</v>
      </c>
      <c r="AH308" s="393" t="e">
        <f t="shared" si="111"/>
        <v>#DIV/0!</v>
      </c>
      <c r="AI308" s="393" t="e">
        <f t="shared" si="112"/>
        <v>#DIV/0!</v>
      </c>
      <c r="AJ308" s="393" t="e">
        <f t="shared" si="113"/>
        <v>#DIV/0!</v>
      </c>
      <c r="AK308" s="393" t="e">
        <f t="shared" si="114"/>
        <v>#DIV/0!</v>
      </c>
      <c r="AL308" s="393" t="e">
        <f t="shared" si="115"/>
        <v>#DIV/0!</v>
      </c>
      <c r="AM308" s="393" t="e">
        <f t="shared" si="116"/>
        <v>#DIV/0!</v>
      </c>
      <c r="AN308" s="393">
        <f t="shared" si="117"/>
        <v>-100</v>
      </c>
      <c r="AO308" s="393" t="e">
        <f t="shared" si="118"/>
        <v>#DIV/0!</v>
      </c>
      <c r="AP308" s="393" t="e">
        <f t="shared" si="119"/>
        <v>#DIV/0!</v>
      </c>
      <c r="AQ308" s="393" t="e">
        <f t="shared" si="120"/>
        <v>#DIV/0!</v>
      </c>
      <c r="AR308" s="393">
        <f t="shared" si="121"/>
        <v>-100</v>
      </c>
      <c r="AS308" s="393" t="e">
        <f t="shared" si="122"/>
        <v>#DIV/0!</v>
      </c>
      <c r="AT308" s="393">
        <f t="shared" si="123"/>
        <v>-100</v>
      </c>
      <c r="AU308" s="393" t="e">
        <f t="shared" si="124"/>
        <v>#DIV/0!</v>
      </c>
      <c r="AV308" s="393" t="e">
        <f t="shared" si="125"/>
        <v>#DIV/0!</v>
      </c>
      <c r="AW308" s="393" t="e">
        <f t="shared" si="126"/>
        <v>#DIV/0!</v>
      </c>
      <c r="AX308" s="393" t="e">
        <f t="shared" si="127"/>
        <v>#DIV/0!</v>
      </c>
      <c r="AY308" s="393" t="e">
        <f t="shared" si="128"/>
        <v>#DIV/0!</v>
      </c>
      <c r="AZ308" s="393" t="e">
        <f t="shared" si="129"/>
        <v>#DIV/0!</v>
      </c>
      <c r="BA308" s="393" t="e">
        <f t="shared" si="130"/>
        <v>#DIV/0!</v>
      </c>
      <c r="BB308" s="393" t="e">
        <f t="shared" si="131"/>
        <v>#DIV/0!</v>
      </c>
    </row>
    <row r="309" spans="1:54" x14ac:dyDescent="0.25">
      <c r="A309" s="361" t="s">
        <v>3585</v>
      </c>
      <c r="B309" s="480"/>
      <c r="C309" s="480"/>
      <c r="D309" s="480"/>
      <c r="E309" s="480"/>
      <c r="F309" s="480"/>
      <c r="G309" s="480"/>
      <c r="H309" s="480"/>
      <c r="I309" s="480"/>
      <c r="J309" s="480"/>
      <c r="K309" s="480"/>
      <c r="L309" s="480"/>
      <c r="M309" s="480"/>
      <c r="N309" s="480"/>
      <c r="O309" s="480">
        <f>790/1200</f>
        <v>0.6583</v>
      </c>
      <c r="P309" s="480">
        <f>1186/1800</f>
        <v>0.65890000000000004</v>
      </c>
      <c r="Q309" s="480"/>
      <c r="R309" s="480"/>
      <c r="S309" s="480"/>
      <c r="T309" s="480"/>
      <c r="U309" s="480"/>
      <c r="V309" s="480"/>
      <c r="W309" s="480"/>
      <c r="X309" s="480"/>
      <c r="Y309" s="480"/>
      <c r="Z309" s="480"/>
      <c r="AA309" s="480"/>
      <c r="AB309" s="480"/>
      <c r="AC309" s="393" t="e">
        <f t="shared" si="106"/>
        <v>#DIV/0!</v>
      </c>
      <c r="AD309" s="393" t="e">
        <f t="shared" si="107"/>
        <v>#DIV/0!</v>
      </c>
      <c r="AE309" s="393" t="e">
        <f t="shared" si="108"/>
        <v>#DIV/0!</v>
      </c>
      <c r="AF309" s="393" t="e">
        <f t="shared" si="109"/>
        <v>#DIV/0!</v>
      </c>
      <c r="AG309" s="393" t="e">
        <f t="shared" si="110"/>
        <v>#DIV/0!</v>
      </c>
      <c r="AH309" s="393" t="e">
        <f t="shared" si="111"/>
        <v>#DIV/0!</v>
      </c>
      <c r="AI309" s="393" t="e">
        <f t="shared" si="112"/>
        <v>#DIV/0!</v>
      </c>
      <c r="AJ309" s="393" t="e">
        <f t="shared" si="113"/>
        <v>#DIV/0!</v>
      </c>
      <c r="AK309" s="393" t="e">
        <f t="shared" si="114"/>
        <v>#DIV/0!</v>
      </c>
      <c r="AL309" s="393" t="e">
        <f t="shared" si="115"/>
        <v>#DIV/0!</v>
      </c>
      <c r="AM309" s="393" t="e">
        <f t="shared" si="116"/>
        <v>#DIV/0!</v>
      </c>
      <c r="AN309" s="393" t="e">
        <f t="shared" si="117"/>
        <v>#DIV/0!</v>
      </c>
      <c r="AO309" s="393" t="e">
        <f t="shared" si="118"/>
        <v>#DIV/0!</v>
      </c>
      <c r="AP309" s="393">
        <f t="shared" si="119"/>
        <v>9.0999999999999998E-2</v>
      </c>
      <c r="AQ309" s="393">
        <f t="shared" si="120"/>
        <v>-100</v>
      </c>
      <c r="AR309" s="393" t="e">
        <f t="shared" si="121"/>
        <v>#DIV/0!</v>
      </c>
      <c r="AS309" s="393" t="e">
        <f t="shared" si="122"/>
        <v>#DIV/0!</v>
      </c>
      <c r="AT309" s="393" t="e">
        <f t="shared" si="123"/>
        <v>#DIV/0!</v>
      </c>
      <c r="AU309" s="393" t="e">
        <f t="shared" si="124"/>
        <v>#DIV/0!</v>
      </c>
      <c r="AV309" s="393" t="e">
        <f t="shared" si="125"/>
        <v>#DIV/0!</v>
      </c>
      <c r="AW309" s="393" t="e">
        <f t="shared" si="126"/>
        <v>#DIV/0!</v>
      </c>
      <c r="AX309" s="393" t="e">
        <f t="shared" si="127"/>
        <v>#DIV/0!</v>
      </c>
      <c r="AY309" s="393" t="e">
        <f t="shared" si="128"/>
        <v>#DIV/0!</v>
      </c>
      <c r="AZ309" s="393" t="e">
        <f t="shared" si="129"/>
        <v>#DIV/0!</v>
      </c>
      <c r="BA309" s="393" t="e">
        <f t="shared" si="130"/>
        <v>#DIV/0!</v>
      </c>
      <c r="BB309" s="393" t="e">
        <f t="shared" si="131"/>
        <v>#DIV/0!</v>
      </c>
    </row>
    <row r="310" spans="1:54" x14ac:dyDescent="0.25">
      <c r="A310" s="565" t="s">
        <v>3103</v>
      </c>
      <c r="B310" s="480">
        <f>842/1800</f>
        <v>0.46779999999999999</v>
      </c>
      <c r="C310" s="480"/>
      <c r="D310" s="480"/>
      <c r="E310" s="480"/>
      <c r="F310" s="480"/>
      <c r="G310" s="480"/>
      <c r="H310" s="480"/>
      <c r="I310" s="480"/>
      <c r="J310" s="480"/>
      <c r="K310" s="480"/>
      <c r="L310" s="480"/>
      <c r="M310" s="480"/>
      <c r="N310" s="480"/>
      <c r="O310" s="480"/>
      <c r="P310" s="480"/>
      <c r="Q310" s="480"/>
      <c r="R310" s="480"/>
      <c r="S310" s="480"/>
      <c r="T310" s="480"/>
      <c r="U310" s="480"/>
      <c r="V310" s="480"/>
      <c r="W310" s="480"/>
      <c r="X310" s="480"/>
      <c r="Y310" s="480"/>
      <c r="Z310" s="480"/>
      <c r="AA310" s="480"/>
      <c r="AB310" s="480"/>
      <c r="AC310" s="393">
        <f t="shared" si="106"/>
        <v>-100</v>
      </c>
      <c r="AD310" s="393" t="e">
        <f t="shared" si="107"/>
        <v>#DIV/0!</v>
      </c>
      <c r="AE310" s="393" t="e">
        <f t="shared" si="108"/>
        <v>#DIV/0!</v>
      </c>
      <c r="AF310" s="393" t="e">
        <f t="shared" si="109"/>
        <v>#DIV/0!</v>
      </c>
      <c r="AG310" s="393" t="e">
        <f t="shared" si="110"/>
        <v>#DIV/0!</v>
      </c>
      <c r="AH310" s="393" t="e">
        <f t="shared" si="111"/>
        <v>#DIV/0!</v>
      </c>
      <c r="AI310" s="393" t="e">
        <f t="shared" si="112"/>
        <v>#DIV/0!</v>
      </c>
      <c r="AJ310" s="393" t="e">
        <f t="shared" si="113"/>
        <v>#DIV/0!</v>
      </c>
      <c r="AK310" s="393" t="e">
        <f t="shared" si="114"/>
        <v>#DIV/0!</v>
      </c>
      <c r="AL310" s="393" t="e">
        <f t="shared" si="115"/>
        <v>#DIV/0!</v>
      </c>
      <c r="AM310" s="393" t="e">
        <f t="shared" si="116"/>
        <v>#DIV/0!</v>
      </c>
      <c r="AN310" s="393" t="e">
        <f t="shared" si="117"/>
        <v>#DIV/0!</v>
      </c>
      <c r="AO310" s="393" t="e">
        <f t="shared" si="118"/>
        <v>#DIV/0!</v>
      </c>
      <c r="AP310" s="393" t="e">
        <f t="shared" si="119"/>
        <v>#DIV/0!</v>
      </c>
      <c r="AQ310" s="393" t="e">
        <f t="shared" si="120"/>
        <v>#DIV/0!</v>
      </c>
      <c r="AR310" s="393" t="e">
        <f t="shared" si="121"/>
        <v>#DIV/0!</v>
      </c>
      <c r="AS310" s="393" t="e">
        <f t="shared" si="122"/>
        <v>#DIV/0!</v>
      </c>
      <c r="AT310" s="393" t="e">
        <f t="shared" si="123"/>
        <v>#DIV/0!</v>
      </c>
      <c r="AU310" s="393" t="e">
        <f t="shared" si="124"/>
        <v>#DIV/0!</v>
      </c>
      <c r="AV310" s="393" t="e">
        <f t="shared" si="125"/>
        <v>#DIV/0!</v>
      </c>
      <c r="AW310" s="393" t="e">
        <f t="shared" si="126"/>
        <v>#DIV/0!</v>
      </c>
      <c r="AX310" s="393" t="e">
        <f t="shared" si="127"/>
        <v>#DIV/0!</v>
      </c>
      <c r="AY310" s="393" t="e">
        <f t="shared" si="128"/>
        <v>#DIV/0!</v>
      </c>
      <c r="AZ310" s="393" t="e">
        <f t="shared" si="129"/>
        <v>#DIV/0!</v>
      </c>
      <c r="BA310" s="393" t="e">
        <f t="shared" si="130"/>
        <v>#DIV/0!</v>
      </c>
      <c r="BB310" s="393" t="e">
        <f t="shared" si="131"/>
        <v>#DIV/0!</v>
      </c>
    </row>
    <row r="311" spans="1:54" x14ac:dyDescent="0.25">
      <c r="A311" s="565" t="s">
        <v>3670</v>
      </c>
      <c r="B311" s="480">
        <f>1017/1800</f>
        <v>0.56499999999999995</v>
      </c>
      <c r="C311" s="480">
        <f>1090/1800</f>
        <v>0.60560000000000003</v>
      </c>
      <c r="D311" s="480">
        <f>1175/1800</f>
        <v>0.65280000000000005</v>
      </c>
      <c r="E311" s="480">
        <f>1162/1800</f>
        <v>0.64559999999999995</v>
      </c>
      <c r="F311" s="480"/>
      <c r="G311" s="480"/>
      <c r="H311" s="480"/>
      <c r="I311" s="480"/>
      <c r="J311" s="480"/>
      <c r="K311" s="480"/>
      <c r="L311" s="480"/>
      <c r="M311" s="480"/>
      <c r="N311" s="480"/>
      <c r="O311" s="480"/>
      <c r="P311" s="480"/>
      <c r="Q311" s="480"/>
      <c r="R311" s="480"/>
      <c r="S311" s="480"/>
      <c r="T311" s="480"/>
      <c r="U311" s="480"/>
      <c r="V311" s="480"/>
      <c r="W311" s="480"/>
      <c r="X311" s="480"/>
      <c r="Y311" s="480"/>
      <c r="Z311" s="480"/>
      <c r="AA311" s="480"/>
      <c r="AB311" s="480"/>
      <c r="AC311" s="393">
        <f t="shared" si="106"/>
        <v>7.1859999999999999</v>
      </c>
      <c r="AD311" s="393">
        <f t="shared" si="107"/>
        <v>7.7939999999999996</v>
      </c>
      <c r="AE311" s="393">
        <f t="shared" si="108"/>
        <v>-1.103</v>
      </c>
      <c r="AF311" s="393">
        <f t="shared" si="109"/>
        <v>-100</v>
      </c>
      <c r="AG311" s="393" t="e">
        <f t="shared" si="110"/>
        <v>#DIV/0!</v>
      </c>
      <c r="AH311" s="393" t="e">
        <f t="shared" si="111"/>
        <v>#DIV/0!</v>
      </c>
      <c r="AI311" s="393" t="e">
        <f t="shared" si="112"/>
        <v>#DIV/0!</v>
      </c>
      <c r="AJ311" s="393" t="e">
        <f t="shared" si="113"/>
        <v>#DIV/0!</v>
      </c>
      <c r="AK311" s="393" t="e">
        <f t="shared" si="114"/>
        <v>#DIV/0!</v>
      </c>
      <c r="AL311" s="393" t="e">
        <f t="shared" si="115"/>
        <v>#DIV/0!</v>
      </c>
      <c r="AM311" s="393" t="e">
        <f t="shared" si="116"/>
        <v>#DIV/0!</v>
      </c>
      <c r="AN311" s="393" t="e">
        <f t="shared" si="117"/>
        <v>#DIV/0!</v>
      </c>
      <c r="AO311" s="393" t="e">
        <f t="shared" si="118"/>
        <v>#DIV/0!</v>
      </c>
      <c r="AP311" s="393" t="e">
        <f t="shared" si="119"/>
        <v>#DIV/0!</v>
      </c>
      <c r="AQ311" s="393" t="e">
        <f t="shared" si="120"/>
        <v>#DIV/0!</v>
      </c>
      <c r="AR311" s="393" t="e">
        <f t="shared" si="121"/>
        <v>#DIV/0!</v>
      </c>
      <c r="AS311" s="393" t="e">
        <f t="shared" si="122"/>
        <v>#DIV/0!</v>
      </c>
      <c r="AT311" s="393" t="e">
        <f t="shared" si="123"/>
        <v>#DIV/0!</v>
      </c>
      <c r="AU311" s="393" t="e">
        <f t="shared" si="124"/>
        <v>#DIV/0!</v>
      </c>
      <c r="AV311" s="393" t="e">
        <f t="shared" si="125"/>
        <v>#DIV/0!</v>
      </c>
      <c r="AW311" s="393" t="e">
        <f t="shared" si="126"/>
        <v>#DIV/0!</v>
      </c>
      <c r="AX311" s="393" t="e">
        <f t="shared" si="127"/>
        <v>#DIV/0!</v>
      </c>
      <c r="AY311" s="393" t="e">
        <f t="shared" si="128"/>
        <v>#DIV/0!</v>
      </c>
      <c r="AZ311" s="393" t="e">
        <f t="shared" si="129"/>
        <v>#DIV/0!</v>
      </c>
      <c r="BA311" s="393" t="e">
        <f t="shared" si="130"/>
        <v>#DIV/0!</v>
      </c>
      <c r="BB311" s="393" t="e">
        <f t="shared" si="131"/>
        <v>#DIV/0!</v>
      </c>
    </row>
    <row r="312" spans="1:54" x14ac:dyDescent="0.25">
      <c r="A312" s="355" t="s">
        <v>2873</v>
      </c>
      <c r="B312" s="480"/>
      <c r="C312" s="480"/>
      <c r="D312" s="480"/>
      <c r="E312" s="480"/>
      <c r="F312" s="480"/>
      <c r="G312" s="480"/>
      <c r="H312" s="480"/>
      <c r="I312" s="480"/>
      <c r="J312" s="480"/>
      <c r="K312" s="480"/>
      <c r="L312" s="480"/>
      <c r="M312" s="480"/>
      <c r="N312" s="480"/>
      <c r="O312" s="480"/>
      <c r="P312" s="480"/>
      <c r="Q312" s="480"/>
      <c r="R312" s="480"/>
      <c r="S312" s="480"/>
      <c r="T312" s="480"/>
      <c r="U312" s="480"/>
      <c r="V312" s="482">
        <f>699/1200</f>
        <v>0.58250000000000002</v>
      </c>
      <c r="W312" s="480">
        <f>735/1200</f>
        <v>0.61250000000000004</v>
      </c>
      <c r="X312" s="480">
        <f>1080/1800</f>
        <v>0.6</v>
      </c>
      <c r="Y312" s="480"/>
      <c r="Z312" s="480"/>
      <c r="AA312" s="480"/>
      <c r="AB312" s="480"/>
      <c r="AC312" s="393" t="e">
        <f t="shared" si="106"/>
        <v>#DIV/0!</v>
      </c>
      <c r="AD312" s="393" t="e">
        <f t="shared" si="107"/>
        <v>#DIV/0!</v>
      </c>
      <c r="AE312" s="393" t="e">
        <f t="shared" si="108"/>
        <v>#DIV/0!</v>
      </c>
      <c r="AF312" s="393" t="e">
        <f t="shared" si="109"/>
        <v>#DIV/0!</v>
      </c>
      <c r="AG312" s="393" t="e">
        <f t="shared" si="110"/>
        <v>#DIV/0!</v>
      </c>
      <c r="AH312" s="393" t="e">
        <f t="shared" si="111"/>
        <v>#DIV/0!</v>
      </c>
      <c r="AI312" s="393" t="e">
        <f t="shared" si="112"/>
        <v>#DIV/0!</v>
      </c>
      <c r="AJ312" s="393" t="e">
        <f t="shared" si="113"/>
        <v>#DIV/0!</v>
      </c>
      <c r="AK312" s="393" t="e">
        <f t="shared" si="114"/>
        <v>#DIV/0!</v>
      </c>
      <c r="AL312" s="393" t="e">
        <f t="shared" si="115"/>
        <v>#DIV/0!</v>
      </c>
      <c r="AM312" s="393" t="e">
        <f t="shared" si="116"/>
        <v>#DIV/0!</v>
      </c>
      <c r="AN312" s="393" t="e">
        <f t="shared" si="117"/>
        <v>#DIV/0!</v>
      </c>
      <c r="AO312" s="393" t="e">
        <f t="shared" si="118"/>
        <v>#DIV/0!</v>
      </c>
      <c r="AP312" s="393" t="e">
        <f t="shared" si="119"/>
        <v>#DIV/0!</v>
      </c>
      <c r="AQ312" s="393" t="e">
        <f t="shared" si="120"/>
        <v>#DIV/0!</v>
      </c>
      <c r="AR312" s="393" t="e">
        <f t="shared" si="121"/>
        <v>#DIV/0!</v>
      </c>
      <c r="AS312" s="393" t="e">
        <f t="shared" si="122"/>
        <v>#DIV/0!</v>
      </c>
      <c r="AT312" s="393" t="e">
        <f t="shared" si="123"/>
        <v>#DIV/0!</v>
      </c>
      <c r="AU312" s="393" t="e">
        <f t="shared" si="124"/>
        <v>#DIV/0!</v>
      </c>
      <c r="AV312" s="393" t="e">
        <f t="shared" si="125"/>
        <v>#DIV/0!</v>
      </c>
      <c r="AW312" s="393">
        <f t="shared" si="126"/>
        <v>5.15</v>
      </c>
      <c r="AX312" s="393">
        <f t="shared" si="127"/>
        <v>-2.0409999999999999</v>
      </c>
      <c r="AY312" s="393">
        <f t="shared" si="128"/>
        <v>-100</v>
      </c>
      <c r="AZ312" s="393" t="e">
        <f t="shared" si="129"/>
        <v>#DIV/0!</v>
      </c>
      <c r="BA312" s="393" t="e">
        <f t="shared" si="130"/>
        <v>#DIV/0!</v>
      </c>
      <c r="BB312" s="393" t="e">
        <f t="shared" si="131"/>
        <v>#DIV/0!</v>
      </c>
    </row>
    <row r="313" spans="1:54" x14ac:dyDescent="0.25">
      <c r="A313" s="361" t="s">
        <v>1192</v>
      </c>
      <c r="B313" s="480"/>
      <c r="C313" s="480"/>
      <c r="D313" s="480"/>
      <c r="E313" s="480"/>
      <c r="F313" s="480"/>
      <c r="G313" s="480"/>
      <c r="H313" s="480"/>
      <c r="I313" s="480"/>
      <c r="J313" s="480"/>
      <c r="K313" s="480"/>
      <c r="L313" s="480"/>
      <c r="M313" s="480"/>
      <c r="N313" s="480"/>
      <c r="O313" s="480"/>
      <c r="P313" s="480"/>
      <c r="Q313" s="480"/>
      <c r="R313" s="480"/>
      <c r="S313" s="480"/>
      <c r="T313" s="480"/>
      <c r="U313" s="480"/>
      <c r="V313" s="480"/>
      <c r="W313" s="480">
        <f>757/1200</f>
        <v>0.63080000000000003</v>
      </c>
      <c r="X313" s="480"/>
      <c r="Y313" s="480"/>
      <c r="Z313" s="480"/>
      <c r="AA313" s="480"/>
      <c r="AB313" s="480"/>
      <c r="AC313" s="393" t="e">
        <f t="shared" si="106"/>
        <v>#DIV/0!</v>
      </c>
      <c r="AD313" s="393" t="e">
        <f t="shared" si="107"/>
        <v>#DIV/0!</v>
      </c>
      <c r="AE313" s="393" t="e">
        <f t="shared" si="108"/>
        <v>#DIV/0!</v>
      </c>
      <c r="AF313" s="393" t="e">
        <f t="shared" si="109"/>
        <v>#DIV/0!</v>
      </c>
      <c r="AG313" s="393" t="e">
        <f t="shared" si="110"/>
        <v>#DIV/0!</v>
      </c>
      <c r="AH313" s="393" t="e">
        <f t="shared" si="111"/>
        <v>#DIV/0!</v>
      </c>
      <c r="AI313" s="393" t="e">
        <f t="shared" si="112"/>
        <v>#DIV/0!</v>
      </c>
      <c r="AJ313" s="393" t="e">
        <f t="shared" si="113"/>
        <v>#DIV/0!</v>
      </c>
      <c r="AK313" s="393" t="e">
        <f t="shared" si="114"/>
        <v>#DIV/0!</v>
      </c>
      <c r="AL313" s="393" t="e">
        <f t="shared" si="115"/>
        <v>#DIV/0!</v>
      </c>
      <c r="AM313" s="393" t="e">
        <f t="shared" si="116"/>
        <v>#DIV/0!</v>
      </c>
      <c r="AN313" s="393" t="e">
        <f t="shared" si="117"/>
        <v>#DIV/0!</v>
      </c>
      <c r="AO313" s="393" t="e">
        <f t="shared" si="118"/>
        <v>#DIV/0!</v>
      </c>
      <c r="AP313" s="393" t="e">
        <f t="shared" si="119"/>
        <v>#DIV/0!</v>
      </c>
      <c r="AQ313" s="393" t="e">
        <f t="shared" si="120"/>
        <v>#DIV/0!</v>
      </c>
      <c r="AR313" s="393" t="e">
        <f t="shared" si="121"/>
        <v>#DIV/0!</v>
      </c>
      <c r="AS313" s="393" t="e">
        <f t="shared" si="122"/>
        <v>#DIV/0!</v>
      </c>
      <c r="AT313" s="393" t="e">
        <f t="shared" si="123"/>
        <v>#DIV/0!</v>
      </c>
      <c r="AU313" s="393" t="e">
        <f t="shared" si="124"/>
        <v>#DIV/0!</v>
      </c>
      <c r="AV313" s="393" t="e">
        <f t="shared" si="125"/>
        <v>#DIV/0!</v>
      </c>
      <c r="AW313" s="393" t="e">
        <f t="shared" si="126"/>
        <v>#DIV/0!</v>
      </c>
      <c r="AX313" s="393">
        <f t="shared" si="127"/>
        <v>-100</v>
      </c>
      <c r="AY313" s="393" t="e">
        <f t="shared" si="128"/>
        <v>#DIV/0!</v>
      </c>
      <c r="AZ313" s="393" t="e">
        <f t="shared" si="129"/>
        <v>#DIV/0!</v>
      </c>
      <c r="BA313" s="393" t="e">
        <f t="shared" si="130"/>
        <v>#DIV/0!</v>
      </c>
      <c r="BB313" s="393" t="e">
        <f t="shared" si="131"/>
        <v>#DIV/0!</v>
      </c>
    </row>
    <row r="314" spans="1:54" x14ac:dyDescent="0.25">
      <c r="A314" s="361" t="s">
        <v>269</v>
      </c>
      <c r="B314" s="480">
        <f>1191/1800</f>
        <v>0.66169999999999995</v>
      </c>
      <c r="C314" s="480">
        <f>1147/1800</f>
        <v>0.63719999999999999</v>
      </c>
      <c r="D314" s="480"/>
      <c r="E314" s="480"/>
      <c r="F314" s="480"/>
      <c r="G314" s="480"/>
      <c r="H314" s="480"/>
      <c r="I314" s="480"/>
      <c r="J314" s="480"/>
      <c r="K314" s="480"/>
      <c r="L314" s="480"/>
      <c r="M314" s="480"/>
      <c r="N314" s="480"/>
      <c r="O314" s="480"/>
      <c r="P314" s="480"/>
      <c r="Q314" s="480"/>
      <c r="R314" s="480"/>
      <c r="S314" s="480"/>
      <c r="T314" s="480"/>
      <c r="U314" s="480"/>
      <c r="V314" s="480"/>
      <c r="W314" s="480"/>
      <c r="X314" s="480"/>
      <c r="Y314" s="480"/>
      <c r="Z314" s="480"/>
      <c r="AA314" s="480"/>
      <c r="AB314" s="480"/>
      <c r="AC314" s="393">
        <f t="shared" si="106"/>
        <v>-3.7029999999999998</v>
      </c>
      <c r="AD314" s="393">
        <f t="shared" si="107"/>
        <v>-100</v>
      </c>
      <c r="AE314" s="393" t="e">
        <f t="shared" si="108"/>
        <v>#DIV/0!</v>
      </c>
      <c r="AF314" s="393" t="e">
        <f t="shared" si="109"/>
        <v>#DIV/0!</v>
      </c>
      <c r="AG314" s="393" t="e">
        <f t="shared" si="110"/>
        <v>#DIV/0!</v>
      </c>
      <c r="AH314" s="393" t="e">
        <f t="shared" si="111"/>
        <v>#DIV/0!</v>
      </c>
      <c r="AI314" s="393" t="e">
        <f t="shared" si="112"/>
        <v>#DIV/0!</v>
      </c>
      <c r="AJ314" s="393" t="e">
        <f t="shared" si="113"/>
        <v>#DIV/0!</v>
      </c>
      <c r="AK314" s="393" t="e">
        <f t="shared" si="114"/>
        <v>#DIV/0!</v>
      </c>
      <c r="AL314" s="393" t="e">
        <f t="shared" si="115"/>
        <v>#DIV/0!</v>
      </c>
      <c r="AM314" s="393" t="e">
        <f t="shared" si="116"/>
        <v>#DIV/0!</v>
      </c>
      <c r="AN314" s="393" t="e">
        <f t="shared" si="117"/>
        <v>#DIV/0!</v>
      </c>
      <c r="AO314" s="393" t="e">
        <f t="shared" si="118"/>
        <v>#DIV/0!</v>
      </c>
      <c r="AP314" s="393" t="e">
        <f t="shared" si="119"/>
        <v>#DIV/0!</v>
      </c>
      <c r="AQ314" s="393" t="e">
        <f t="shared" si="120"/>
        <v>#DIV/0!</v>
      </c>
      <c r="AR314" s="393" t="e">
        <f t="shared" si="121"/>
        <v>#DIV/0!</v>
      </c>
      <c r="AS314" s="393" t="e">
        <f t="shared" si="122"/>
        <v>#DIV/0!</v>
      </c>
      <c r="AT314" s="393" t="e">
        <f t="shared" si="123"/>
        <v>#DIV/0!</v>
      </c>
      <c r="AU314" s="393" t="e">
        <f t="shared" si="124"/>
        <v>#DIV/0!</v>
      </c>
      <c r="AV314" s="393" t="e">
        <f t="shared" si="125"/>
        <v>#DIV/0!</v>
      </c>
      <c r="AW314" s="393" t="e">
        <f t="shared" si="126"/>
        <v>#DIV/0!</v>
      </c>
      <c r="AX314" s="393" t="e">
        <f t="shared" si="127"/>
        <v>#DIV/0!</v>
      </c>
      <c r="AY314" s="393" t="e">
        <f t="shared" si="128"/>
        <v>#DIV/0!</v>
      </c>
      <c r="AZ314" s="393" t="e">
        <f t="shared" si="129"/>
        <v>#DIV/0!</v>
      </c>
      <c r="BA314" s="393" t="e">
        <f t="shared" si="130"/>
        <v>#DIV/0!</v>
      </c>
      <c r="BB314" s="393" t="e">
        <f t="shared" si="131"/>
        <v>#DIV/0!</v>
      </c>
    </row>
    <row r="315" spans="1:54" x14ac:dyDescent="0.25">
      <c r="A315" s="361" t="s">
        <v>3579</v>
      </c>
      <c r="B315" s="480"/>
      <c r="C315" s="480"/>
      <c r="D315" s="480"/>
      <c r="E315" s="480"/>
      <c r="F315" s="480"/>
      <c r="G315" s="480"/>
      <c r="H315" s="480">
        <f>773/1200</f>
        <v>0.64419999999999999</v>
      </c>
      <c r="I315" s="480">
        <f>768/1200</f>
        <v>0.64</v>
      </c>
      <c r="J315" s="480">
        <f>762/1200</f>
        <v>0.63500000000000001</v>
      </c>
      <c r="K315" s="480">
        <f>789/1200</f>
        <v>0.65749999999999997</v>
      </c>
      <c r="L315" s="480"/>
      <c r="M315" s="480"/>
      <c r="N315" s="480"/>
      <c r="O315" s="480"/>
      <c r="P315" s="480"/>
      <c r="Q315" s="480"/>
      <c r="R315" s="480"/>
      <c r="S315" s="480"/>
      <c r="T315" s="480"/>
      <c r="U315" s="480"/>
      <c r="V315" s="481"/>
      <c r="W315" s="481"/>
      <c r="X315" s="481"/>
      <c r="Y315" s="481"/>
      <c r="Z315" s="481"/>
      <c r="AA315" s="481"/>
      <c r="AB315" s="481"/>
      <c r="AC315" s="393" t="e">
        <f t="shared" si="106"/>
        <v>#DIV/0!</v>
      </c>
      <c r="AD315" s="393" t="e">
        <f t="shared" si="107"/>
        <v>#DIV/0!</v>
      </c>
      <c r="AE315" s="393" t="e">
        <f t="shared" si="108"/>
        <v>#DIV/0!</v>
      </c>
      <c r="AF315" s="393" t="e">
        <f t="shared" si="109"/>
        <v>#DIV/0!</v>
      </c>
      <c r="AG315" s="393" t="e">
        <f t="shared" si="110"/>
        <v>#DIV/0!</v>
      </c>
      <c r="AH315" s="393" t="e">
        <f t="shared" si="111"/>
        <v>#DIV/0!</v>
      </c>
      <c r="AI315" s="393">
        <f t="shared" si="112"/>
        <v>-0.65200000000000002</v>
      </c>
      <c r="AJ315" s="393">
        <f t="shared" si="113"/>
        <v>-0.78100000000000003</v>
      </c>
      <c r="AK315" s="393">
        <f t="shared" si="114"/>
        <v>3.5430000000000001</v>
      </c>
      <c r="AL315" s="393">
        <f t="shared" si="115"/>
        <v>-100</v>
      </c>
      <c r="AM315" s="393" t="e">
        <f t="shared" si="116"/>
        <v>#DIV/0!</v>
      </c>
      <c r="AN315" s="393" t="e">
        <f t="shared" si="117"/>
        <v>#DIV/0!</v>
      </c>
      <c r="AO315" s="393" t="e">
        <f t="shared" si="118"/>
        <v>#DIV/0!</v>
      </c>
      <c r="AP315" s="393" t="e">
        <f t="shared" si="119"/>
        <v>#DIV/0!</v>
      </c>
      <c r="AQ315" s="393" t="e">
        <f t="shared" si="120"/>
        <v>#DIV/0!</v>
      </c>
      <c r="AR315" s="393" t="e">
        <f t="shared" si="121"/>
        <v>#DIV/0!</v>
      </c>
      <c r="AS315" s="393" t="e">
        <f t="shared" si="122"/>
        <v>#DIV/0!</v>
      </c>
      <c r="AT315" s="393" t="e">
        <f t="shared" si="123"/>
        <v>#DIV/0!</v>
      </c>
      <c r="AU315" s="393" t="e">
        <f t="shared" si="124"/>
        <v>#DIV/0!</v>
      </c>
      <c r="AV315" s="393" t="e">
        <f t="shared" si="125"/>
        <v>#DIV/0!</v>
      </c>
      <c r="AW315" s="393" t="e">
        <f t="shared" si="126"/>
        <v>#DIV/0!</v>
      </c>
      <c r="AX315" s="393" t="e">
        <f t="shared" si="127"/>
        <v>#DIV/0!</v>
      </c>
      <c r="AY315" s="393" t="e">
        <f t="shared" si="128"/>
        <v>#DIV/0!</v>
      </c>
      <c r="AZ315" s="393" t="e">
        <f t="shared" si="129"/>
        <v>#DIV/0!</v>
      </c>
      <c r="BA315" s="393" t="e">
        <f t="shared" si="130"/>
        <v>#DIV/0!</v>
      </c>
      <c r="BB315" s="393" t="e">
        <f t="shared" si="131"/>
        <v>#DIV/0!</v>
      </c>
    </row>
    <row r="316" spans="1:54" x14ac:dyDescent="0.25">
      <c r="A316" s="361" t="s">
        <v>1191</v>
      </c>
      <c r="B316" s="480"/>
      <c r="C316" s="480"/>
      <c r="D316" s="480"/>
      <c r="E316" s="480"/>
      <c r="F316" s="480"/>
      <c r="G316" s="480"/>
      <c r="H316" s="480"/>
      <c r="I316" s="480"/>
      <c r="J316" s="480"/>
      <c r="K316" s="480"/>
      <c r="L316" s="480"/>
      <c r="M316" s="480"/>
      <c r="N316" s="480"/>
      <c r="O316" s="480"/>
      <c r="P316" s="480"/>
      <c r="Q316" s="480"/>
      <c r="R316" s="480"/>
      <c r="S316" s="480"/>
      <c r="T316" s="480"/>
      <c r="U316" s="480"/>
      <c r="V316" s="480"/>
      <c r="W316" s="480">
        <f>760/1200</f>
        <v>0.63329999999999997</v>
      </c>
      <c r="X316" s="480"/>
      <c r="Y316" s="480"/>
      <c r="Z316" s="480"/>
      <c r="AA316" s="480"/>
      <c r="AB316" s="480"/>
      <c r="AC316" s="393" t="e">
        <f t="shared" si="106"/>
        <v>#DIV/0!</v>
      </c>
      <c r="AD316" s="393" t="e">
        <f t="shared" si="107"/>
        <v>#DIV/0!</v>
      </c>
      <c r="AE316" s="393" t="e">
        <f t="shared" si="108"/>
        <v>#DIV/0!</v>
      </c>
      <c r="AF316" s="393" t="e">
        <f t="shared" si="109"/>
        <v>#DIV/0!</v>
      </c>
      <c r="AG316" s="393" t="e">
        <f t="shared" si="110"/>
        <v>#DIV/0!</v>
      </c>
      <c r="AH316" s="393" t="e">
        <f t="shared" si="111"/>
        <v>#DIV/0!</v>
      </c>
      <c r="AI316" s="393" t="e">
        <f t="shared" si="112"/>
        <v>#DIV/0!</v>
      </c>
      <c r="AJ316" s="393" t="e">
        <f t="shared" si="113"/>
        <v>#DIV/0!</v>
      </c>
      <c r="AK316" s="393" t="e">
        <f t="shared" si="114"/>
        <v>#DIV/0!</v>
      </c>
      <c r="AL316" s="393" t="e">
        <f t="shared" si="115"/>
        <v>#DIV/0!</v>
      </c>
      <c r="AM316" s="393" t="e">
        <f t="shared" si="116"/>
        <v>#DIV/0!</v>
      </c>
      <c r="AN316" s="393" t="e">
        <f t="shared" si="117"/>
        <v>#DIV/0!</v>
      </c>
      <c r="AO316" s="393" t="e">
        <f t="shared" si="118"/>
        <v>#DIV/0!</v>
      </c>
      <c r="AP316" s="393" t="e">
        <f t="shared" si="119"/>
        <v>#DIV/0!</v>
      </c>
      <c r="AQ316" s="393" t="e">
        <f t="shared" si="120"/>
        <v>#DIV/0!</v>
      </c>
      <c r="AR316" s="393" t="e">
        <f t="shared" si="121"/>
        <v>#DIV/0!</v>
      </c>
      <c r="AS316" s="393" t="e">
        <f t="shared" si="122"/>
        <v>#DIV/0!</v>
      </c>
      <c r="AT316" s="393" t="e">
        <f t="shared" si="123"/>
        <v>#DIV/0!</v>
      </c>
      <c r="AU316" s="393" t="e">
        <f t="shared" si="124"/>
        <v>#DIV/0!</v>
      </c>
      <c r="AV316" s="393" t="e">
        <f t="shared" si="125"/>
        <v>#DIV/0!</v>
      </c>
      <c r="AW316" s="393" t="e">
        <f t="shared" si="126"/>
        <v>#DIV/0!</v>
      </c>
      <c r="AX316" s="393">
        <f t="shared" si="127"/>
        <v>-100</v>
      </c>
      <c r="AY316" s="393" t="e">
        <f t="shared" si="128"/>
        <v>#DIV/0!</v>
      </c>
      <c r="AZ316" s="393" t="e">
        <f t="shared" si="129"/>
        <v>#DIV/0!</v>
      </c>
      <c r="BA316" s="393" t="e">
        <f t="shared" si="130"/>
        <v>#DIV/0!</v>
      </c>
      <c r="BB316" s="393" t="e">
        <f t="shared" si="131"/>
        <v>#DIV/0!</v>
      </c>
    </row>
    <row r="317" spans="1:54" x14ac:dyDescent="0.25">
      <c r="A317" s="565" t="s">
        <v>1871</v>
      </c>
      <c r="B317" s="480">
        <f>898/1800</f>
        <v>0.49890000000000001</v>
      </c>
      <c r="C317" s="480">
        <f>1008/1800</f>
        <v>0.56000000000000005</v>
      </c>
      <c r="D317" s="480">
        <f>838/1800</f>
        <v>0.46560000000000001</v>
      </c>
      <c r="E317" s="480">
        <f>1005/1800</f>
        <v>0.55830000000000002</v>
      </c>
      <c r="F317" s="480"/>
      <c r="G317" s="480"/>
      <c r="H317" s="480"/>
      <c r="I317" s="480"/>
      <c r="J317" s="480"/>
      <c r="K317" s="480"/>
      <c r="L317" s="480"/>
      <c r="M317" s="480"/>
      <c r="N317" s="480"/>
      <c r="O317" s="480"/>
      <c r="P317" s="480"/>
      <c r="Q317" s="480"/>
      <c r="R317" s="480"/>
      <c r="S317" s="480"/>
      <c r="T317" s="480"/>
      <c r="U317" s="480"/>
      <c r="V317" s="480"/>
      <c r="W317" s="480"/>
      <c r="X317" s="480"/>
      <c r="Y317" s="480"/>
      <c r="Z317" s="480"/>
      <c r="AA317" s="480"/>
      <c r="AB317" s="480"/>
      <c r="AC317" s="393">
        <f t="shared" si="106"/>
        <v>12.247</v>
      </c>
      <c r="AD317" s="393">
        <f t="shared" si="107"/>
        <v>-16.856999999999999</v>
      </c>
      <c r="AE317" s="393">
        <f t="shared" si="108"/>
        <v>19.91</v>
      </c>
      <c r="AF317" s="393">
        <f t="shared" si="109"/>
        <v>-100</v>
      </c>
      <c r="AG317" s="393" t="e">
        <f t="shared" si="110"/>
        <v>#DIV/0!</v>
      </c>
      <c r="AH317" s="393" t="e">
        <f t="shared" si="111"/>
        <v>#DIV/0!</v>
      </c>
      <c r="AI317" s="393" t="e">
        <f t="shared" si="112"/>
        <v>#DIV/0!</v>
      </c>
      <c r="AJ317" s="393" t="e">
        <f t="shared" si="113"/>
        <v>#DIV/0!</v>
      </c>
      <c r="AK317" s="393" t="e">
        <f t="shared" si="114"/>
        <v>#DIV/0!</v>
      </c>
      <c r="AL317" s="393" t="e">
        <f t="shared" si="115"/>
        <v>#DIV/0!</v>
      </c>
      <c r="AM317" s="393" t="e">
        <f t="shared" si="116"/>
        <v>#DIV/0!</v>
      </c>
      <c r="AN317" s="393" t="e">
        <f t="shared" si="117"/>
        <v>#DIV/0!</v>
      </c>
      <c r="AO317" s="393" t="e">
        <f t="shared" si="118"/>
        <v>#DIV/0!</v>
      </c>
      <c r="AP317" s="393" t="e">
        <f t="shared" si="119"/>
        <v>#DIV/0!</v>
      </c>
      <c r="AQ317" s="393" t="e">
        <f t="shared" si="120"/>
        <v>#DIV/0!</v>
      </c>
      <c r="AR317" s="393" t="e">
        <f t="shared" si="121"/>
        <v>#DIV/0!</v>
      </c>
      <c r="AS317" s="393" t="e">
        <f t="shared" si="122"/>
        <v>#DIV/0!</v>
      </c>
      <c r="AT317" s="393" t="e">
        <f t="shared" si="123"/>
        <v>#DIV/0!</v>
      </c>
      <c r="AU317" s="393" t="e">
        <f t="shared" si="124"/>
        <v>#DIV/0!</v>
      </c>
      <c r="AV317" s="393" t="e">
        <f t="shared" si="125"/>
        <v>#DIV/0!</v>
      </c>
      <c r="AW317" s="393" t="e">
        <f t="shared" si="126"/>
        <v>#DIV/0!</v>
      </c>
      <c r="AX317" s="393" t="e">
        <f t="shared" si="127"/>
        <v>#DIV/0!</v>
      </c>
      <c r="AY317" s="393" t="e">
        <f t="shared" si="128"/>
        <v>#DIV/0!</v>
      </c>
      <c r="AZ317" s="393" t="e">
        <f t="shared" si="129"/>
        <v>#DIV/0!</v>
      </c>
      <c r="BA317" s="393" t="e">
        <f t="shared" si="130"/>
        <v>#DIV/0!</v>
      </c>
      <c r="BB317" s="393" t="e">
        <f t="shared" si="131"/>
        <v>#DIV/0!</v>
      </c>
    </row>
    <row r="318" spans="1:54" x14ac:dyDescent="0.25">
      <c r="A318" s="565" t="s">
        <v>24</v>
      </c>
      <c r="B318" s="480"/>
      <c r="C318" s="480">
        <f>1064/1800</f>
        <v>0.59109999999999996</v>
      </c>
      <c r="D318" s="480">
        <f>1115/1800</f>
        <v>0.61939999999999995</v>
      </c>
      <c r="E318" s="480">
        <f>1150/1800</f>
        <v>0.63890000000000002</v>
      </c>
      <c r="F318" s="480">
        <f>777/1200</f>
        <v>0.64749999999999996</v>
      </c>
      <c r="G318" s="480"/>
      <c r="H318" s="480"/>
      <c r="I318" s="480"/>
      <c r="J318" s="480"/>
      <c r="K318" s="480"/>
      <c r="L318" s="480"/>
      <c r="M318" s="480"/>
      <c r="N318" s="480"/>
      <c r="O318" s="480"/>
      <c r="P318" s="480"/>
      <c r="Q318" s="480"/>
      <c r="R318" s="480"/>
      <c r="S318" s="480"/>
      <c r="T318" s="480"/>
      <c r="U318" s="480"/>
      <c r="V318" s="480"/>
      <c r="W318" s="480"/>
      <c r="X318" s="480"/>
      <c r="Y318" s="480"/>
      <c r="Z318" s="480"/>
      <c r="AA318" s="480"/>
      <c r="AB318" s="480"/>
      <c r="AC318" s="393" t="e">
        <f t="shared" si="106"/>
        <v>#DIV/0!</v>
      </c>
      <c r="AD318" s="393">
        <f t="shared" si="107"/>
        <v>4.7880000000000003</v>
      </c>
      <c r="AE318" s="393">
        <f t="shared" si="108"/>
        <v>3.1480000000000001</v>
      </c>
      <c r="AF318" s="393">
        <f t="shared" si="109"/>
        <v>1.3460000000000001</v>
      </c>
      <c r="AG318" s="393">
        <f t="shared" si="110"/>
        <v>-100</v>
      </c>
      <c r="AH318" s="393" t="e">
        <f t="shared" si="111"/>
        <v>#DIV/0!</v>
      </c>
      <c r="AI318" s="393" t="e">
        <f t="shared" si="112"/>
        <v>#DIV/0!</v>
      </c>
      <c r="AJ318" s="393" t="e">
        <f t="shared" si="113"/>
        <v>#DIV/0!</v>
      </c>
      <c r="AK318" s="393" t="e">
        <f t="shared" si="114"/>
        <v>#DIV/0!</v>
      </c>
      <c r="AL318" s="393" t="e">
        <f t="shared" si="115"/>
        <v>#DIV/0!</v>
      </c>
      <c r="AM318" s="393" t="e">
        <f t="shared" si="116"/>
        <v>#DIV/0!</v>
      </c>
      <c r="AN318" s="393" t="e">
        <f t="shared" si="117"/>
        <v>#DIV/0!</v>
      </c>
      <c r="AO318" s="393" t="e">
        <f t="shared" si="118"/>
        <v>#DIV/0!</v>
      </c>
      <c r="AP318" s="393" t="e">
        <f t="shared" si="119"/>
        <v>#DIV/0!</v>
      </c>
      <c r="AQ318" s="393" t="e">
        <f t="shared" si="120"/>
        <v>#DIV/0!</v>
      </c>
      <c r="AR318" s="393" t="e">
        <f t="shared" si="121"/>
        <v>#DIV/0!</v>
      </c>
      <c r="AS318" s="393" t="e">
        <f t="shared" si="122"/>
        <v>#DIV/0!</v>
      </c>
      <c r="AT318" s="393" t="e">
        <f t="shared" si="123"/>
        <v>#DIV/0!</v>
      </c>
      <c r="AU318" s="393" t="e">
        <f t="shared" si="124"/>
        <v>#DIV/0!</v>
      </c>
      <c r="AV318" s="393" t="e">
        <f t="shared" si="125"/>
        <v>#DIV/0!</v>
      </c>
      <c r="AW318" s="393" t="e">
        <f t="shared" si="126"/>
        <v>#DIV/0!</v>
      </c>
      <c r="AX318" s="393" t="e">
        <f t="shared" si="127"/>
        <v>#DIV/0!</v>
      </c>
      <c r="AY318" s="393" t="e">
        <f t="shared" si="128"/>
        <v>#DIV/0!</v>
      </c>
      <c r="AZ318" s="393" t="e">
        <f t="shared" si="129"/>
        <v>#DIV/0!</v>
      </c>
      <c r="BA318" s="393" t="e">
        <f t="shared" si="130"/>
        <v>#DIV/0!</v>
      </c>
      <c r="BB318" s="393" t="e">
        <f t="shared" si="131"/>
        <v>#DIV/0!</v>
      </c>
    </row>
    <row r="319" spans="1:54" x14ac:dyDescent="0.25">
      <c r="A319" s="565" t="s">
        <v>3672</v>
      </c>
      <c r="B319" s="480">
        <f>1047/1800</f>
        <v>0.58169999999999999</v>
      </c>
      <c r="C319" s="480">
        <f>1077/1800</f>
        <v>0.59830000000000005</v>
      </c>
      <c r="D319" s="480"/>
      <c r="E319" s="480"/>
      <c r="F319" s="480"/>
      <c r="G319" s="480"/>
      <c r="H319" s="480"/>
      <c r="I319" s="480"/>
      <c r="J319" s="480"/>
      <c r="K319" s="480"/>
      <c r="L319" s="480"/>
      <c r="M319" s="480"/>
      <c r="N319" s="480"/>
      <c r="O319" s="480"/>
      <c r="P319" s="480"/>
      <c r="Q319" s="480"/>
      <c r="R319" s="480"/>
      <c r="S319" s="480"/>
      <c r="T319" s="480"/>
      <c r="U319" s="480"/>
      <c r="V319" s="480"/>
      <c r="W319" s="480"/>
      <c r="X319" s="480"/>
      <c r="Y319" s="480"/>
      <c r="Z319" s="480"/>
      <c r="AA319" s="480"/>
      <c r="AB319" s="480"/>
      <c r="AC319" s="393">
        <f t="shared" si="106"/>
        <v>2.8540000000000001</v>
      </c>
      <c r="AD319" s="393">
        <f t="shared" si="107"/>
        <v>-100</v>
      </c>
      <c r="AE319" s="393" t="e">
        <f t="shared" si="108"/>
        <v>#DIV/0!</v>
      </c>
      <c r="AF319" s="393" t="e">
        <f t="shared" si="109"/>
        <v>#DIV/0!</v>
      </c>
      <c r="AG319" s="393" t="e">
        <f t="shared" si="110"/>
        <v>#DIV/0!</v>
      </c>
      <c r="AH319" s="393" t="e">
        <f t="shared" si="111"/>
        <v>#DIV/0!</v>
      </c>
      <c r="AI319" s="393" t="e">
        <f t="shared" si="112"/>
        <v>#DIV/0!</v>
      </c>
      <c r="AJ319" s="393" t="e">
        <f t="shared" si="113"/>
        <v>#DIV/0!</v>
      </c>
      <c r="AK319" s="393" t="e">
        <f t="shared" si="114"/>
        <v>#DIV/0!</v>
      </c>
      <c r="AL319" s="393" t="e">
        <f t="shared" si="115"/>
        <v>#DIV/0!</v>
      </c>
      <c r="AM319" s="393" t="e">
        <f t="shared" si="116"/>
        <v>#DIV/0!</v>
      </c>
      <c r="AN319" s="393" t="e">
        <f t="shared" si="117"/>
        <v>#DIV/0!</v>
      </c>
      <c r="AO319" s="393" t="e">
        <f t="shared" si="118"/>
        <v>#DIV/0!</v>
      </c>
      <c r="AP319" s="393" t="e">
        <f t="shared" si="119"/>
        <v>#DIV/0!</v>
      </c>
      <c r="AQ319" s="393" t="e">
        <f t="shared" si="120"/>
        <v>#DIV/0!</v>
      </c>
      <c r="AR319" s="393" t="e">
        <f t="shared" si="121"/>
        <v>#DIV/0!</v>
      </c>
      <c r="AS319" s="393" t="e">
        <f t="shared" si="122"/>
        <v>#DIV/0!</v>
      </c>
      <c r="AT319" s="393" t="e">
        <f t="shared" si="123"/>
        <v>#DIV/0!</v>
      </c>
      <c r="AU319" s="393" t="e">
        <f t="shared" si="124"/>
        <v>#DIV/0!</v>
      </c>
      <c r="AV319" s="393" t="e">
        <f t="shared" si="125"/>
        <v>#DIV/0!</v>
      </c>
      <c r="AW319" s="393" t="e">
        <f t="shared" si="126"/>
        <v>#DIV/0!</v>
      </c>
      <c r="AX319" s="393" t="e">
        <f t="shared" si="127"/>
        <v>#DIV/0!</v>
      </c>
      <c r="AY319" s="393" t="e">
        <f t="shared" si="128"/>
        <v>#DIV/0!</v>
      </c>
      <c r="AZ319" s="393" t="e">
        <f t="shared" si="129"/>
        <v>#DIV/0!</v>
      </c>
      <c r="BA319" s="393" t="e">
        <f t="shared" si="130"/>
        <v>#DIV/0!</v>
      </c>
      <c r="BB319" s="393" t="e">
        <f t="shared" si="131"/>
        <v>#DIV/0!</v>
      </c>
    </row>
    <row r="320" spans="1:54" x14ac:dyDescent="0.25">
      <c r="A320" s="361" t="s">
        <v>230</v>
      </c>
      <c r="B320" s="480">
        <f>957/1800</f>
        <v>0.53169999999999995</v>
      </c>
      <c r="C320" s="480"/>
      <c r="D320" s="480"/>
      <c r="E320" s="480"/>
      <c r="F320" s="480"/>
      <c r="G320" s="480"/>
      <c r="H320" s="480"/>
      <c r="I320" s="480"/>
      <c r="J320" s="480"/>
      <c r="K320" s="480"/>
      <c r="L320" s="480"/>
      <c r="M320" s="480"/>
      <c r="N320" s="480"/>
      <c r="O320" s="480"/>
      <c r="P320" s="480">
        <f>1035/1800</f>
        <v>0.57499999999999996</v>
      </c>
      <c r="Q320" s="480">
        <f>1108/1800</f>
        <v>0.61560000000000004</v>
      </c>
      <c r="R320" s="480"/>
      <c r="S320" s="480"/>
      <c r="T320" s="480"/>
      <c r="U320" s="480"/>
      <c r="V320" s="480"/>
      <c r="W320" s="480"/>
      <c r="X320" s="480"/>
      <c r="Y320" s="480"/>
      <c r="Z320" s="480"/>
      <c r="AA320" s="480"/>
      <c r="AB320" s="480"/>
      <c r="AC320" s="393">
        <f t="shared" si="106"/>
        <v>-100</v>
      </c>
      <c r="AD320" s="393" t="e">
        <f t="shared" si="107"/>
        <v>#DIV/0!</v>
      </c>
      <c r="AE320" s="393" t="e">
        <f t="shared" si="108"/>
        <v>#DIV/0!</v>
      </c>
      <c r="AF320" s="393" t="e">
        <f t="shared" si="109"/>
        <v>#DIV/0!</v>
      </c>
      <c r="AG320" s="393" t="e">
        <f t="shared" si="110"/>
        <v>#DIV/0!</v>
      </c>
      <c r="AH320" s="393" t="e">
        <f t="shared" si="111"/>
        <v>#DIV/0!</v>
      </c>
      <c r="AI320" s="393" t="e">
        <f t="shared" si="112"/>
        <v>#DIV/0!</v>
      </c>
      <c r="AJ320" s="393" t="e">
        <f t="shared" si="113"/>
        <v>#DIV/0!</v>
      </c>
      <c r="AK320" s="393" t="e">
        <f t="shared" si="114"/>
        <v>#DIV/0!</v>
      </c>
      <c r="AL320" s="393" t="e">
        <f t="shared" si="115"/>
        <v>#DIV/0!</v>
      </c>
      <c r="AM320" s="393" t="e">
        <f t="shared" si="116"/>
        <v>#DIV/0!</v>
      </c>
      <c r="AN320" s="393" t="e">
        <f t="shared" si="117"/>
        <v>#DIV/0!</v>
      </c>
      <c r="AO320" s="393" t="e">
        <f t="shared" si="118"/>
        <v>#DIV/0!</v>
      </c>
      <c r="AP320" s="393" t="e">
        <f t="shared" si="119"/>
        <v>#DIV/0!</v>
      </c>
      <c r="AQ320" s="393">
        <f t="shared" si="120"/>
        <v>7.0609999999999999</v>
      </c>
      <c r="AR320" s="393">
        <f t="shared" si="121"/>
        <v>-100</v>
      </c>
      <c r="AS320" s="393" t="e">
        <f t="shared" si="122"/>
        <v>#DIV/0!</v>
      </c>
      <c r="AT320" s="393" t="e">
        <f t="shared" si="123"/>
        <v>#DIV/0!</v>
      </c>
      <c r="AU320" s="393" t="e">
        <f t="shared" si="124"/>
        <v>#DIV/0!</v>
      </c>
      <c r="AV320" s="393" t="e">
        <f t="shared" si="125"/>
        <v>#DIV/0!</v>
      </c>
      <c r="AW320" s="393" t="e">
        <f t="shared" si="126"/>
        <v>#DIV/0!</v>
      </c>
      <c r="AX320" s="393" t="e">
        <f t="shared" si="127"/>
        <v>#DIV/0!</v>
      </c>
      <c r="AY320" s="393" t="e">
        <f t="shared" si="128"/>
        <v>#DIV/0!</v>
      </c>
      <c r="AZ320" s="393" t="e">
        <f t="shared" si="129"/>
        <v>#DIV/0!</v>
      </c>
      <c r="BA320" s="393" t="e">
        <f t="shared" si="130"/>
        <v>#DIV/0!</v>
      </c>
      <c r="BB320" s="393" t="e">
        <f t="shared" si="131"/>
        <v>#DIV/0!</v>
      </c>
    </row>
    <row r="321" spans="1:54" x14ac:dyDescent="0.25">
      <c r="A321" s="360" t="s">
        <v>1630</v>
      </c>
      <c r="B321" s="480"/>
      <c r="C321" s="480"/>
      <c r="D321" s="480"/>
      <c r="E321" s="480"/>
      <c r="F321" s="480"/>
      <c r="G321" s="480">
        <f>1653/2400</f>
        <v>0.68879999999999997</v>
      </c>
      <c r="H321" s="480"/>
      <c r="I321" s="480"/>
      <c r="J321" s="480"/>
      <c r="K321" s="480"/>
      <c r="L321" s="480"/>
      <c r="M321" s="480"/>
      <c r="N321" s="480"/>
      <c r="O321" s="480"/>
      <c r="P321" s="480"/>
      <c r="Q321" s="480"/>
      <c r="R321" s="480"/>
      <c r="S321" s="480"/>
      <c r="T321" s="480"/>
      <c r="U321" s="480"/>
      <c r="V321" s="480"/>
      <c r="W321" s="480"/>
      <c r="X321" s="480"/>
      <c r="Y321" s="480"/>
      <c r="Z321" s="480"/>
      <c r="AA321" s="480"/>
      <c r="AB321" s="480"/>
      <c r="AC321" s="393" t="e">
        <f t="shared" si="106"/>
        <v>#DIV/0!</v>
      </c>
      <c r="AD321" s="393" t="e">
        <f t="shared" si="107"/>
        <v>#DIV/0!</v>
      </c>
      <c r="AE321" s="393" t="e">
        <f t="shared" si="108"/>
        <v>#DIV/0!</v>
      </c>
      <c r="AF321" s="393" t="e">
        <f t="shared" si="109"/>
        <v>#DIV/0!</v>
      </c>
      <c r="AG321" s="393" t="e">
        <f t="shared" si="110"/>
        <v>#DIV/0!</v>
      </c>
      <c r="AH321" s="393">
        <f t="shared" si="111"/>
        <v>-100</v>
      </c>
      <c r="AI321" s="393" t="e">
        <f t="shared" si="112"/>
        <v>#DIV/0!</v>
      </c>
      <c r="AJ321" s="393" t="e">
        <f t="shared" si="113"/>
        <v>#DIV/0!</v>
      </c>
      <c r="AK321" s="393" t="e">
        <f t="shared" si="114"/>
        <v>#DIV/0!</v>
      </c>
      <c r="AL321" s="393" t="e">
        <f t="shared" si="115"/>
        <v>#DIV/0!</v>
      </c>
      <c r="AM321" s="393" t="e">
        <f t="shared" si="116"/>
        <v>#DIV/0!</v>
      </c>
      <c r="AN321" s="393" t="e">
        <f t="shared" si="117"/>
        <v>#DIV/0!</v>
      </c>
      <c r="AO321" s="393" t="e">
        <f t="shared" si="118"/>
        <v>#DIV/0!</v>
      </c>
      <c r="AP321" s="393" t="e">
        <f t="shared" si="119"/>
        <v>#DIV/0!</v>
      </c>
      <c r="AQ321" s="393" t="e">
        <f t="shared" si="120"/>
        <v>#DIV/0!</v>
      </c>
      <c r="AR321" s="393" t="e">
        <f t="shared" si="121"/>
        <v>#DIV/0!</v>
      </c>
      <c r="AS321" s="393" t="e">
        <f t="shared" si="122"/>
        <v>#DIV/0!</v>
      </c>
      <c r="AT321" s="393" t="e">
        <f t="shared" si="123"/>
        <v>#DIV/0!</v>
      </c>
      <c r="AU321" s="393" t="e">
        <f t="shared" si="124"/>
        <v>#DIV/0!</v>
      </c>
      <c r="AV321" s="393" t="e">
        <f t="shared" si="125"/>
        <v>#DIV/0!</v>
      </c>
      <c r="AW321" s="393" t="e">
        <f t="shared" si="126"/>
        <v>#DIV/0!</v>
      </c>
      <c r="AX321" s="393" t="e">
        <f t="shared" si="127"/>
        <v>#DIV/0!</v>
      </c>
      <c r="AY321" s="393" t="e">
        <f t="shared" si="128"/>
        <v>#DIV/0!</v>
      </c>
      <c r="AZ321" s="393" t="e">
        <f t="shared" si="129"/>
        <v>#DIV/0!</v>
      </c>
      <c r="BA321" s="393" t="e">
        <f t="shared" si="130"/>
        <v>#DIV/0!</v>
      </c>
      <c r="BB321" s="393" t="e">
        <f t="shared" si="131"/>
        <v>#DIV/0!</v>
      </c>
    </row>
    <row r="322" spans="1:54" x14ac:dyDescent="0.25">
      <c r="A322" s="361" t="s">
        <v>1196</v>
      </c>
      <c r="B322" s="480"/>
      <c r="C322" s="480"/>
      <c r="D322" s="480"/>
      <c r="E322" s="480"/>
      <c r="F322" s="480"/>
      <c r="G322" s="480"/>
      <c r="H322" s="480"/>
      <c r="I322" s="480"/>
      <c r="J322" s="480"/>
      <c r="K322" s="480"/>
      <c r="L322" s="480"/>
      <c r="M322" s="480"/>
      <c r="N322" s="480"/>
      <c r="O322" s="480"/>
      <c r="P322" s="480"/>
      <c r="Q322" s="480">
        <f>863/1800</f>
        <v>0.47939999999999999</v>
      </c>
      <c r="R322" s="480"/>
      <c r="S322" s="480"/>
      <c r="T322" s="480"/>
      <c r="U322" s="480"/>
      <c r="V322" s="480"/>
      <c r="W322" s="480"/>
      <c r="X322" s="480"/>
      <c r="Y322" s="480"/>
      <c r="Z322" s="480"/>
      <c r="AA322" s="480"/>
      <c r="AB322" s="480"/>
      <c r="AC322" s="393" t="e">
        <f t="shared" si="106"/>
        <v>#DIV/0!</v>
      </c>
      <c r="AD322" s="393" t="e">
        <f t="shared" si="107"/>
        <v>#DIV/0!</v>
      </c>
      <c r="AE322" s="393" t="e">
        <f t="shared" si="108"/>
        <v>#DIV/0!</v>
      </c>
      <c r="AF322" s="393" t="e">
        <f t="shared" si="109"/>
        <v>#DIV/0!</v>
      </c>
      <c r="AG322" s="393" t="e">
        <f t="shared" si="110"/>
        <v>#DIV/0!</v>
      </c>
      <c r="AH322" s="393" t="e">
        <f t="shared" si="111"/>
        <v>#DIV/0!</v>
      </c>
      <c r="AI322" s="393" t="e">
        <f t="shared" si="112"/>
        <v>#DIV/0!</v>
      </c>
      <c r="AJ322" s="393" t="e">
        <f t="shared" si="113"/>
        <v>#DIV/0!</v>
      </c>
      <c r="AK322" s="393" t="e">
        <f t="shared" si="114"/>
        <v>#DIV/0!</v>
      </c>
      <c r="AL322" s="393" t="e">
        <f t="shared" si="115"/>
        <v>#DIV/0!</v>
      </c>
      <c r="AM322" s="393" t="e">
        <f t="shared" si="116"/>
        <v>#DIV/0!</v>
      </c>
      <c r="AN322" s="393" t="e">
        <f t="shared" si="117"/>
        <v>#DIV/0!</v>
      </c>
      <c r="AO322" s="393" t="e">
        <f t="shared" si="118"/>
        <v>#DIV/0!</v>
      </c>
      <c r="AP322" s="393" t="e">
        <f t="shared" si="119"/>
        <v>#DIV/0!</v>
      </c>
      <c r="AQ322" s="393" t="e">
        <f t="shared" si="120"/>
        <v>#DIV/0!</v>
      </c>
      <c r="AR322" s="393">
        <f t="shared" si="121"/>
        <v>-100</v>
      </c>
      <c r="AS322" s="393" t="e">
        <f t="shared" si="122"/>
        <v>#DIV/0!</v>
      </c>
      <c r="AT322" s="393" t="e">
        <f t="shared" si="123"/>
        <v>#DIV/0!</v>
      </c>
      <c r="AU322" s="393" t="e">
        <f t="shared" si="124"/>
        <v>#DIV/0!</v>
      </c>
      <c r="AV322" s="393" t="e">
        <f t="shared" si="125"/>
        <v>#DIV/0!</v>
      </c>
      <c r="AW322" s="393" t="e">
        <f t="shared" si="126"/>
        <v>#DIV/0!</v>
      </c>
      <c r="AX322" s="393" t="e">
        <f t="shared" si="127"/>
        <v>#DIV/0!</v>
      </c>
      <c r="AY322" s="393" t="e">
        <f t="shared" si="128"/>
        <v>#DIV/0!</v>
      </c>
      <c r="AZ322" s="393" t="e">
        <f t="shared" si="129"/>
        <v>#DIV/0!</v>
      </c>
      <c r="BA322" s="393" t="e">
        <f t="shared" si="130"/>
        <v>#DIV/0!</v>
      </c>
      <c r="BB322" s="393" t="e">
        <f t="shared" si="131"/>
        <v>#DIV/0!</v>
      </c>
    </row>
    <row r="323" spans="1:54" x14ac:dyDescent="0.25">
      <c r="A323" s="361" t="s">
        <v>632</v>
      </c>
      <c r="B323" s="480"/>
      <c r="C323" s="480"/>
      <c r="D323" s="480"/>
      <c r="E323" s="480"/>
      <c r="F323" s="480"/>
      <c r="G323" s="480"/>
      <c r="H323" s="480"/>
      <c r="I323" s="480"/>
      <c r="J323" s="480"/>
      <c r="K323" s="480"/>
      <c r="L323" s="480"/>
      <c r="M323" s="480"/>
      <c r="N323" s="480">
        <f>750/1200</f>
        <v>0.625</v>
      </c>
      <c r="O323" s="480">
        <f>769/1200</f>
        <v>0.64080000000000004</v>
      </c>
      <c r="P323" s="480"/>
      <c r="Q323" s="480"/>
      <c r="R323" s="480"/>
      <c r="S323" s="480"/>
      <c r="T323" s="480"/>
      <c r="U323" s="480"/>
      <c r="V323" s="480"/>
      <c r="W323" s="480"/>
      <c r="X323" s="480"/>
      <c r="Y323" s="480"/>
      <c r="Z323" s="480"/>
      <c r="AA323" s="480"/>
      <c r="AB323" s="480"/>
      <c r="AC323" s="393" t="e">
        <f t="shared" si="106"/>
        <v>#DIV/0!</v>
      </c>
      <c r="AD323" s="393" t="e">
        <f t="shared" si="107"/>
        <v>#DIV/0!</v>
      </c>
      <c r="AE323" s="393" t="e">
        <f t="shared" si="108"/>
        <v>#DIV/0!</v>
      </c>
      <c r="AF323" s="393" t="e">
        <f t="shared" si="109"/>
        <v>#DIV/0!</v>
      </c>
      <c r="AG323" s="393" t="e">
        <f t="shared" si="110"/>
        <v>#DIV/0!</v>
      </c>
      <c r="AH323" s="393" t="e">
        <f t="shared" si="111"/>
        <v>#DIV/0!</v>
      </c>
      <c r="AI323" s="393" t="e">
        <f t="shared" si="112"/>
        <v>#DIV/0!</v>
      </c>
      <c r="AJ323" s="393" t="e">
        <f t="shared" si="113"/>
        <v>#DIV/0!</v>
      </c>
      <c r="AK323" s="393" t="e">
        <f t="shared" si="114"/>
        <v>#DIV/0!</v>
      </c>
      <c r="AL323" s="393" t="e">
        <f t="shared" si="115"/>
        <v>#DIV/0!</v>
      </c>
      <c r="AM323" s="393" t="e">
        <f t="shared" si="116"/>
        <v>#DIV/0!</v>
      </c>
      <c r="AN323" s="393" t="e">
        <f t="shared" si="117"/>
        <v>#DIV/0!</v>
      </c>
      <c r="AO323" s="393">
        <f t="shared" si="118"/>
        <v>2.528</v>
      </c>
      <c r="AP323" s="393">
        <f t="shared" si="119"/>
        <v>-100</v>
      </c>
      <c r="AQ323" s="393" t="e">
        <f t="shared" si="120"/>
        <v>#DIV/0!</v>
      </c>
      <c r="AR323" s="393" t="e">
        <f t="shared" si="121"/>
        <v>#DIV/0!</v>
      </c>
      <c r="AS323" s="393" t="e">
        <f t="shared" si="122"/>
        <v>#DIV/0!</v>
      </c>
      <c r="AT323" s="393" t="e">
        <f t="shared" si="123"/>
        <v>#DIV/0!</v>
      </c>
      <c r="AU323" s="393" t="e">
        <f t="shared" si="124"/>
        <v>#DIV/0!</v>
      </c>
      <c r="AV323" s="393" t="e">
        <f t="shared" si="125"/>
        <v>#DIV/0!</v>
      </c>
      <c r="AW323" s="393" t="e">
        <f t="shared" si="126"/>
        <v>#DIV/0!</v>
      </c>
      <c r="AX323" s="393" t="e">
        <f t="shared" si="127"/>
        <v>#DIV/0!</v>
      </c>
      <c r="AY323" s="393" t="e">
        <f t="shared" si="128"/>
        <v>#DIV/0!</v>
      </c>
      <c r="AZ323" s="393" t="e">
        <f t="shared" si="129"/>
        <v>#DIV/0!</v>
      </c>
      <c r="BA323" s="393" t="e">
        <f t="shared" si="130"/>
        <v>#DIV/0!</v>
      </c>
      <c r="BB323" s="393" t="e">
        <f t="shared" si="131"/>
        <v>#DIV/0!</v>
      </c>
    </row>
    <row r="324" spans="1:54" x14ac:dyDescent="0.25">
      <c r="A324" s="360" t="s">
        <v>828</v>
      </c>
      <c r="B324" s="480"/>
      <c r="C324" s="480"/>
      <c r="D324" s="480"/>
      <c r="E324" s="480"/>
      <c r="F324" s="480">
        <f>565/1200</f>
        <v>0.4708</v>
      </c>
      <c r="G324" s="480"/>
      <c r="H324" s="480"/>
      <c r="I324" s="480"/>
      <c r="J324" s="480"/>
      <c r="K324" s="480"/>
      <c r="L324" s="480"/>
      <c r="M324" s="480"/>
      <c r="N324" s="480"/>
      <c r="O324" s="480"/>
      <c r="P324" s="480"/>
      <c r="Q324" s="480"/>
      <c r="R324" s="480"/>
      <c r="S324" s="480"/>
      <c r="T324" s="480"/>
      <c r="U324" s="480"/>
      <c r="V324" s="480"/>
      <c r="W324" s="480"/>
      <c r="X324" s="480"/>
      <c r="Y324" s="480"/>
      <c r="Z324" s="480"/>
      <c r="AA324" s="480"/>
      <c r="AB324" s="480"/>
      <c r="AC324" s="393" t="e">
        <f t="shared" si="106"/>
        <v>#DIV/0!</v>
      </c>
      <c r="AD324" s="393" t="e">
        <f t="shared" si="107"/>
        <v>#DIV/0!</v>
      </c>
      <c r="AE324" s="393" t="e">
        <f t="shared" si="108"/>
        <v>#DIV/0!</v>
      </c>
      <c r="AF324" s="393" t="e">
        <f t="shared" si="109"/>
        <v>#DIV/0!</v>
      </c>
      <c r="AG324" s="393">
        <f t="shared" si="110"/>
        <v>-100</v>
      </c>
      <c r="AH324" s="393" t="e">
        <f t="shared" si="111"/>
        <v>#DIV/0!</v>
      </c>
      <c r="AI324" s="393" t="e">
        <f t="shared" si="112"/>
        <v>#DIV/0!</v>
      </c>
      <c r="AJ324" s="393" t="e">
        <f t="shared" si="113"/>
        <v>#DIV/0!</v>
      </c>
      <c r="AK324" s="393" t="e">
        <f t="shared" si="114"/>
        <v>#DIV/0!</v>
      </c>
      <c r="AL324" s="393" t="e">
        <f t="shared" si="115"/>
        <v>#DIV/0!</v>
      </c>
      <c r="AM324" s="393" t="e">
        <f t="shared" si="116"/>
        <v>#DIV/0!</v>
      </c>
      <c r="AN324" s="393" t="e">
        <f t="shared" si="117"/>
        <v>#DIV/0!</v>
      </c>
      <c r="AO324" s="393" t="e">
        <f t="shared" si="118"/>
        <v>#DIV/0!</v>
      </c>
      <c r="AP324" s="393" t="e">
        <f t="shared" si="119"/>
        <v>#DIV/0!</v>
      </c>
      <c r="AQ324" s="393" t="e">
        <f t="shared" si="120"/>
        <v>#DIV/0!</v>
      </c>
      <c r="AR324" s="393" t="e">
        <f t="shared" si="121"/>
        <v>#DIV/0!</v>
      </c>
      <c r="AS324" s="393" t="e">
        <f t="shared" si="122"/>
        <v>#DIV/0!</v>
      </c>
      <c r="AT324" s="393" t="e">
        <f t="shared" si="123"/>
        <v>#DIV/0!</v>
      </c>
      <c r="AU324" s="393" t="e">
        <f t="shared" si="124"/>
        <v>#DIV/0!</v>
      </c>
      <c r="AV324" s="393" t="e">
        <f t="shared" si="125"/>
        <v>#DIV/0!</v>
      </c>
      <c r="AW324" s="393" t="e">
        <f t="shared" si="126"/>
        <v>#DIV/0!</v>
      </c>
      <c r="AX324" s="393" t="e">
        <f t="shared" si="127"/>
        <v>#DIV/0!</v>
      </c>
      <c r="AY324" s="393" t="e">
        <f t="shared" si="128"/>
        <v>#DIV/0!</v>
      </c>
      <c r="AZ324" s="393" t="e">
        <f t="shared" si="129"/>
        <v>#DIV/0!</v>
      </c>
      <c r="BA324" s="393" t="e">
        <f t="shared" si="130"/>
        <v>#DIV/0!</v>
      </c>
      <c r="BB324" s="393" t="e">
        <f t="shared" si="131"/>
        <v>#DIV/0!</v>
      </c>
    </row>
    <row r="325" spans="1:54" x14ac:dyDescent="0.25">
      <c r="A325" s="361" t="s">
        <v>2105</v>
      </c>
      <c r="B325" s="480">
        <f>1135/1800</f>
        <v>0.63060000000000005</v>
      </c>
      <c r="C325" s="480"/>
      <c r="D325" s="480"/>
      <c r="E325" s="480"/>
      <c r="F325" s="480"/>
      <c r="G325" s="480"/>
      <c r="H325" s="480"/>
      <c r="I325" s="480"/>
      <c r="J325" s="480"/>
      <c r="K325" s="480"/>
      <c r="L325" s="480"/>
      <c r="M325" s="480"/>
      <c r="N325" s="480"/>
      <c r="O325" s="480"/>
      <c r="P325" s="480"/>
      <c r="Q325" s="480"/>
      <c r="R325" s="480"/>
      <c r="S325" s="480"/>
      <c r="T325" s="480"/>
      <c r="U325" s="480"/>
      <c r="V325" s="480"/>
      <c r="W325" s="480"/>
      <c r="X325" s="480"/>
      <c r="Y325" s="480"/>
      <c r="Z325" s="480"/>
      <c r="AA325" s="480"/>
      <c r="AB325" s="480"/>
      <c r="AC325" s="393">
        <f t="shared" ref="AC325:AC388" si="132">(+C325-B325)/B325*100</f>
        <v>-100</v>
      </c>
      <c r="AD325" s="393" t="e">
        <f t="shared" ref="AD325:AD388" si="133">(+D325-C325)/C325*100</f>
        <v>#DIV/0!</v>
      </c>
      <c r="AE325" s="393" t="e">
        <f t="shared" ref="AE325:AE388" si="134">(+E325-D325)/D325*100</f>
        <v>#DIV/0!</v>
      </c>
      <c r="AF325" s="393" t="e">
        <f t="shared" ref="AF325:AF388" si="135">(+F325-E325)/E325*100</f>
        <v>#DIV/0!</v>
      </c>
      <c r="AG325" s="393" t="e">
        <f t="shared" ref="AG325:AG388" si="136">(+G325-F325)/F325*100</f>
        <v>#DIV/0!</v>
      </c>
      <c r="AH325" s="393" t="e">
        <f t="shared" ref="AH325:AH388" si="137">(+H325-G325)/G325*100</f>
        <v>#DIV/0!</v>
      </c>
      <c r="AI325" s="393" t="e">
        <f t="shared" ref="AI325:AI388" si="138">(+I325-H325)/H325*100</f>
        <v>#DIV/0!</v>
      </c>
      <c r="AJ325" s="393" t="e">
        <f t="shared" ref="AJ325:AJ388" si="139">(+J325-I325)/I325*100</f>
        <v>#DIV/0!</v>
      </c>
      <c r="AK325" s="393" t="e">
        <f t="shared" ref="AK325:AK388" si="140">(+K325-J325)/J325*100</f>
        <v>#DIV/0!</v>
      </c>
      <c r="AL325" s="393" t="e">
        <f t="shared" ref="AL325:AL388" si="141">(+L325-K325)/K325*100</f>
        <v>#DIV/0!</v>
      </c>
      <c r="AM325" s="393" t="e">
        <f t="shared" ref="AM325:AM388" si="142">(+M325-L325)/L325*100</f>
        <v>#DIV/0!</v>
      </c>
      <c r="AN325" s="393" t="e">
        <f t="shared" ref="AN325:AN388" si="143">(+N325-M325)/M325*100</f>
        <v>#DIV/0!</v>
      </c>
      <c r="AO325" s="393" t="e">
        <f t="shared" ref="AO325:AO388" si="144">(+O325-N325)/N325*100</f>
        <v>#DIV/0!</v>
      </c>
      <c r="AP325" s="393" t="e">
        <f t="shared" ref="AP325:AP388" si="145">(+P325-O325)/O325*100</f>
        <v>#DIV/0!</v>
      </c>
      <c r="AQ325" s="393" t="e">
        <f t="shared" ref="AQ325:AQ388" si="146">(+Q325-P325)/P325*100</f>
        <v>#DIV/0!</v>
      </c>
      <c r="AR325" s="393" t="e">
        <f t="shared" ref="AR325:AR388" si="147">(+R325-Q325)/Q325*100</f>
        <v>#DIV/0!</v>
      </c>
      <c r="AS325" s="393" t="e">
        <f t="shared" ref="AS325:AS388" si="148">(+S325-R325)/R325*100</f>
        <v>#DIV/0!</v>
      </c>
      <c r="AT325" s="393" t="e">
        <f t="shared" ref="AT325:AT388" si="149">(+T325-S325)/S325*100</f>
        <v>#DIV/0!</v>
      </c>
      <c r="AU325" s="393" t="e">
        <f t="shared" ref="AU325:AU388" si="150">(+U325-T325)/T325*100</f>
        <v>#DIV/0!</v>
      </c>
      <c r="AV325" s="393" t="e">
        <f t="shared" ref="AV325:AV388" si="151">(+V325-U325)/U325*100</f>
        <v>#DIV/0!</v>
      </c>
      <c r="AW325" s="393" t="e">
        <f t="shared" ref="AW325:AW388" si="152">(+W325-V325)/V325*100</f>
        <v>#DIV/0!</v>
      </c>
      <c r="AX325" s="393" t="e">
        <f t="shared" ref="AX325:AX388" si="153">(+X325-W325)/W325*100</f>
        <v>#DIV/0!</v>
      </c>
      <c r="AY325" s="393" t="e">
        <f t="shared" ref="AY325:AY388" si="154">(+Y325-X325)/X325*100</f>
        <v>#DIV/0!</v>
      </c>
      <c r="AZ325" s="393" t="e">
        <f t="shared" ref="AZ325:AZ388" si="155">(+Z325-Y325)/Y325*100</f>
        <v>#DIV/0!</v>
      </c>
      <c r="BA325" s="393" t="e">
        <f t="shared" ref="BA325:BA388" si="156">(+AA325-Z325)/Z325*100</f>
        <v>#DIV/0!</v>
      </c>
      <c r="BB325" s="393" t="e">
        <f t="shared" ref="BB325:BB388" si="157">(+AB325-AA325)/AA325*100</f>
        <v>#DIV/0!</v>
      </c>
    </row>
    <row r="326" spans="1:54" x14ac:dyDescent="0.25">
      <c r="A326" s="565" t="s">
        <v>1208</v>
      </c>
      <c r="B326" s="480"/>
      <c r="C326" s="480">
        <f>1311/1800</f>
        <v>0.72829999999999995</v>
      </c>
      <c r="D326" s="480"/>
      <c r="E326" s="480"/>
      <c r="F326" s="480"/>
      <c r="G326" s="480"/>
      <c r="H326" s="480"/>
      <c r="I326" s="480"/>
      <c r="J326" s="480"/>
      <c r="K326" s="480"/>
      <c r="L326" s="480"/>
      <c r="M326" s="480"/>
      <c r="N326" s="480"/>
      <c r="O326" s="480"/>
      <c r="P326" s="480"/>
      <c r="Q326" s="480"/>
      <c r="R326" s="480"/>
      <c r="S326" s="480"/>
      <c r="T326" s="480"/>
      <c r="U326" s="480"/>
      <c r="V326" s="480"/>
      <c r="W326" s="480"/>
      <c r="X326" s="480"/>
      <c r="Y326" s="480"/>
      <c r="Z326" s="480"/>
      <c r="AA326" s="480"/>
      <c r="AB326" s="480"/>
      <c r="AC326" s="393" t="e">
        <f t="shared" si="132"/>
        <v>#DIV/0!</v>
      </c>
      <c r="AD326" s="393">
        <f t="shared" si="133"/>
        <v>-100</v>
      </c>
      <c r="AE326" s="393" t="e">
        <f t="shared" si="134"/>
        <v>#DIV/0!</v>
      </c>
      <c r="AF326" s="393" t="e">
        <f t="shared" si="135"/>
        <v>#DIV/0!</v>
      </c>
      <c r="AG326" s="393" t="e">
        <f t="shared" si="136"/>
        <v>#DIV/0!</v>
      </c>
      <c r="AH326" s="393" t="e">
        <f t="shared" si="137"/>
        <v>#DIV/0!</v>
      </c>
      <c r="AI326" s="393" t="e">
        <f t="shared" si="138"/>
        <v>#DIV/0!</v>
      </c>
      <c r="AJ326" s="393" t="e">
        <f t="shared" si="139"/>
        <v>#DIV/0!</v>
      </c>
      <c r="AK326" s="393" t="e">
        <f t="shared" si="140"/>
        <v>#DIV/0!</v>
      </c>
      <c r="AL326" s="393" t="e">
        <f t="shared" si="141"/>
        <v>#DIV/0!</v>
      </c>
      <c r="AM326" s="393" t="e">
        <f t="shared" si="142"/>
        <v>#DIV/0!</v>
      </c>
      <c r="AN326" s="393" t="e">
        <f t="shared" si="143"/>
        <v>#DIV/0!</v>
      </c>
      <c r="AO326" s="393" t="e">
        <f t="shared" si="144"/>
        <v>#DIV/0!</v>
      </c>
      <c r="AP326" s="393" t="e">
        <f t="shared" si="145"/>
        <v>#DIV/0!</v>
      </c>
      <c r="AQ326" s="393" t="e">
        <f t="shared" si="146"/>
        <v>#DIV/0!</v>
      </c>
      <c r="AR326" s="393" t="e">
        <f t="shared" si="147"/>
        <v>#DIV/0!</v>
      </c>
      <c r="AS326" s="393" t="e">
        <f t="shared" si="148"/>
        <v>#DIV/0!</v>
      </c>
      <c r="AT326" s="393" t="e">
        <f t="shared" si="149"/>
        <v>#DIV/0!</v>
      </c>
      <c r="AU326" s="393" t="e">
        <f t="shared" si="150"/>
        <v>#DIV/0!</v>
      </c>
      <c r="AV326" s="393" t="e">
        <f t="shared" si="151"/>
        <v>#DIV/0!</v>
      </c>
      <c r="AW326" s="393" t="e">
        <f t="shared" si="152"/>
        <v>#DIV/0!</v>
      </c>
      <c r="AX326" s="393" t="e">
        <f t="shared" si="153"/>
        <v>#DIV/0!</v>
      </c>
      <c r="AY326" s="393" t="e">
        <f t="shared" si="154"/>
        <v>#DIV/0!</v>
      </c>
      <c r="AZ326" s="393" t="e">
        <f t="shared" si="155"/>
        <v>#DIV/0!</v>
      </c>
      <c r="BA326" s="393" t="e">
        <f t="shared" si="156"/>
        <v>#DIV/0!</v>
      </c>
      <c r="BB326" s="393" t="e">
        <f t="shared" si="157"/>
        <v>#DIV/0!</v>
      </c>
    </row>
    <row r="327" spans="1:54" x14ac:dyDescent="0.25">
      <c r="A327" s="361" t="s">
        <v>1794</v>
      </c>
      <c r="B327" s="480"/>
      <c r="C327" s="480"/>
      <c r="D327" s="480"/>
      <c r="E327" s="480"/>
      <c r="F327" s="480"/>
      <c r="G327" s="480"/>
      <c r="H327" s="480"/>
      <c r="I327" s="480"/>
      <c r="J327" s="480"/>
      <c r="K327" s="480"/>
      <c r="L327" s="480"/>
      <c r="M327" s="480"/>
      <c r="N327" s="480"/>
      <c r="O327" s="480"/>
      <c r="P327" s="480"/>
      <c r="Q327" s="480">
        <f>946/1800</f>
        <v>0.52559999999999996</v>
      </c>
      <c r="R327" s="480">
        <f>1030/1800</f>
        <v>0.57220000000000004</v>
      </c>
      <c r="S327" s="480"/>
      <c r="T327" s="480"/>
      <c r="U327" s="480"/>
      <c r="V327" s="480"/>
      <c r="W327" s="480"/>
      <c r="X327" s="480"/>
      <c r="Y327" s="480"/>
      <c r="Z327" s="480"/>
      <c r="AA327" s="480"/>
      <c r="AB327" s="480"/>
      <c r="AC327" s="393" t="e">
        <f t="shared" si="132"/>
        <v>#DIV/0!</v>
      </c>
      <c r="AD327" s="393" t="e">
        <f t="shared" si="133"/>
        <v>#DIV/0!</v>
      </c>
      <c r="AE327" s="393" t="e">
        <f t="shared" si="134"/>
        <v>#DIV/0!</v>
      </c>
      <c r="AF327" s="393" t="e">
        <f t="shared" si="135"/>
        <v>#DIV/0!</v>
      </c>
      <c r="AG327" s="393" t="e">
        <f t="shared" si="136"/>
        <v>#DIV/0!</v>
      </c>
      <c r="AH327" s="393" t="e">
        <f t="shared" si="137"/>
        <v>#DIV/0!</v>
      </c>
      <c r="AI327" s="393" t="e">
        <f t="shared" si="138"/>
        <v>#DIV/0!</v>
      </c>
      <c r="AJ327" s="393" t="e">
        <f t="shared" si="139"/>
        <v>#DIV/0!</v>
      </c>
      <c r="AK327" s="393" t="e">
        <f t="shared" si="140"/>
        <v>#DIV/0!</v>
      </c>
      <c r="AL327" s="393" t="e">
        <f t="shared" si="141"/>
        <v>#DIV/0!</v>
      </c>
      <c r="AM327" s="393" t="e">
        <f t="shared" si="142"/>
        <v>#DIV/0!</v>
      </c>
      <c r="AN327" s="393" t="e">
        <f t="shared" si="143"/>
        <v>#DIV/0!</v>
      </c>
      <c r="AO327" s="393" t="e">
        <f t="shared" si="144"/>
        <v>#DIV/0!</v>
      </c>
      <c r="AP327" s="393" t="e">
        <f t="shared" si="145"/>
        <v>#DIV/0!</v>
      </c>
      <c r="AQ327" s="393" t="e">
        <f t="shared" si="146"/>
        <v>#DIV/0!</v>
      </c>
      <c r="AR327" s="393">
        <f t="shared" si="147"/>
        <v>8.8659999999999997</v>
      </c>
      <c r="AS327" s="393">
        <f t="shared" si="148"/>
        <v>-100</v>
      </c>
      <c r="AT327" s="393" t="e">
        <f t="shared" si="149"/>
        <v>#DIV/0!</v>
      </c>
      <c r="AU327" s="393" t="e">
        <f t="shared" si="150"/>
        <v>#DIV/0!</v>
      </c>
      <c r="AV327" s="393" t="e">
        <f t="shared" si="151"/>
        <v>#DIV/0!</v>
      </c>
      <c r="AW327" s="393" t="e">
        <f t="shared" si="152"/>
        <v>#DIV/0!</v>
      </c>
      <c r="AX327" s="393" t="e">
        <f t="shared" si="153"/>
        <v>#DIV/0!</v>
      </c>
      <c r="AY327" s="393" t="e">
        <f t="shared" si="154"/>
        <v>#DIV/0!</v>
      </c>
      <c r="AZ327" s="393" t="e">
        <f t="shared" si="155"/>
        <v>#DIV/0!</v>
      </c>
      <c r="BA327" s="393" t="e">
        <f t="shared" si="156"/>
        <v>#DIV/0!</v>
      </c>
      <c r="BB327" s="393" t="e">
        <f t="shared" si="157"/>
        <v>#DIV/0!</v>
      </c>
    </row>
    <row r="328" spans="1:54" x14ac:dyDescent="0.25">
      <c r="A328" s="355" t="s">
        <v>1040</v>
      </c>
      <c r="B328" s="480"/>
      <c r="C328" s="480"/>
      <c r="D328" s="480"/>
      <c r="E328" s="480"/>
      <c r="F328" s="480"/>
      <c r="G328" s="480">
        <f>1317/2400</f>
        <v>0.54879999999999995</v>
      </c>
      <c r="H328" s="480">
        <f>714/1200</f>
        <v>0.59499999999999997</v>
      </c>
      <c r="I328" s="480">
        <f>692/1200</f>
        <v>0.57669999999999999</v>
      </c>
      <c r="J328" s="480"/>
      <c r="K328" s="480"/>
      <c r="L328" s="480"/>
      <c r="M328" s="480"/>
      <c r="N328" s="480"/>
      <c r="O328" s="480"/>
      <c r="P328" s="480"/>
      <c r="Q328" s="480"/>
      <c r="R328" s="480"/>
      <c r="S328" s="480"/>
      <c r="T328" s="480"/>
      <c r="U328" s="480"/>
      <c r="V328" s="480"/>
      <c r="W328" s="480"/>
      <c r="X328" s="480"/>
      <c r="Y328" s="480"/>
      <c r="Z328" s="480"/>
      <c r="AA328" s="480"/>
      <c r="AB328" s="480"/>
      <c r="AC328" s="393" t="e">
        <f t="shared" si="132"/>
        <v>#DIV/0!</v>
      </c>
      <c r="AD328" s="393" t="e">
        <f t="shared" si="133"/>
        <v>#DIV/0!</v>
      </c>
      <c r="AE328" s="393" t="e">
        <f t="shared" si="134"/>
        <v>#DIV/0!</v>
      </c>
      <c r="AF328" s="393" t="e">
        <f t="shared" si="135"/>
        <v>#DIV/0!</v>
      </c>
      <c r="AG328" s="393" t="e">
        <f t="shared" si="136"/>
        <v>#DIV/0!</v>
      </c>
      <c r="AH328" s="393">
        <f t="shared" si="137"/>
        <v>8.4179999999999993</v>
      </c>
      <c r="AI328" s="393">
        <f t="shared" si="138"/>
        <v>-3.0760000000000001</v>
      </c>
      <c r="AJ328" s="393">
        <f t="shared" si="139"/>
        <v>-100</v>
      </c>
      <c r="AK328" s="393" t="e">
        <f t="shared" si="140"/>
        <v>#DIV/0!</v>
      </c>
      <c r="AL328" s="393" t="e">
        <f t="shared" si="141"/>
        <v>#DIV/0!</v>
      </c>
      <c r="AM328" s="393" t="e">
        <f t="shared" si="142"/>
        <v>#DIV/0!</v>
      </c>
      <c r="AN328" s="393" t="e">
        <f t="shared" si="143"/>
        <v>#DIV/0!</v>
      </c>
      <c r="AO328" s="393" t="e">
        <f t="shared" si="144"/>
        <v>#DIV/0!</v>
      </c>
      <c r="AP328" s="393" t="e">
        <f t="shared" si="145"/>
        <v>#DIV/0!</v>
      </c>
      <c r="AQ328" s="393" t="e">
        <f t="shared" si="146"/>
        <v>#DIV/0!</v>
      </c>
      <c r="AR328" s="393" t="e">
        <f t="shared" si="147"/>
        <v>#DIV/0!</v>
      </c>
      <c r="AS328" s="393" t="e">
        <f t="shared" si="148"/>
        <v>#DIV/0!</v>
      </c>
      <c r="AT328" s="393" t="e">
        <f t="shared" si="149"/>
        <v>#DIV/0!</v>
      </c>
      <c r="AU328" s="393" t="e">
        <f t="shared" si="150"/>
        <v>#DIV/0!</v>
      </c>
      <c r="AV328" s="393" t="e">
        <f t="shared" si="151"/>
        <v>#DIV/0!</v>
      </c>
      <c r="AW328" s="393" t="e">
        <f t="shared" si="152"/>
        <v>#DIV/0!</v>
      </c>
      <c r="AX328" s="393" t="e">
        <f t="shared" si="153"/>
        <v>#DIV/0!</v>
      </c>
      <c r="AY328" s="393" t="e">
        <f t="shared" si="154"/>
        <v>#DIV/0!</v>
      </c>
      <c r="AZ328" s="393" t="e">
        <f t="shared" si="155"/>
        <v>#DIV/0!</v>
      </c>
      <c r="BA328" s="393" t="e">
        <f t="shared" si="156"/>
        <v>#DIV/0!</v>
      </c>
      <c r="BB328" s="393" t="e">
        <f t="shared" si="157"/>
        <v>#DIV/0!</v>
      </c>
    </row>
    <row r="329" spans="1:54" x14ac:dyDescent="0.25">
      <c r="A329" s="361" t="s">
        <v>156</v>
      </c>
      <c r="B329" s="480">
        <f>1292/1800</f>
        <v>0.71779999999999999</v>
      </c>
      <c r="C329" s="480"/>
      <c r="D329" s="480"/>
      <c r="E329" s="480"/>
      <c r="F329" s="480"/>
      <c r="G329" s="480"/>
      <c r="H329" s="480"/>
      <c r="I329" s="480"/>
      <c r="J329" s="480"/>
      <c r="K329" s="480"/>
      <c r="L329" s="480"/>
      <c r="M329" s="480"/>
      <c r="N329" s="480"/>
      <c r="O329" s="480"/>
      <c r="P329" s="480"/>
      <c r="Q329" s="480"/>
      <c r="R329" s="480"/>
      <c r="S329" s="480"/>
      <c r="T329" s="480"/>
      <c r="U329" s="480"/>
      <c r="V329" s="480"/>
      <c r="W329" s="480"/>
      <c r="X329" s="480"/>
      <c r="Y329" s="480"/>
      <c r="Z329" s="480"/>
      <c r="AA329" s="480"/>
      <c r="AB329" s="480"/>
      <c r="AC329" s="393">
        <f t="shared" si="132"/>
        <v>-100</v>
      </c>
      <c r="AD329" s="393" t="e">
        <f t="shared" si="133"/>
        <v>#DIV/0!</v>
      </c>
      <c r="AE329" s="393" t="e">
        <f t="shared" si="134"/>
        <v>#DIV/0!</v>
      </c>
      <c r="AF329" s="393" t="e">
        <f t="shared" si="135"/>
        <v>#DIV/0!</v>
      </c>
      <c r="AG329" s="393" t="e">
        <f t="shared" si="136"/>
        <v>#DIV/0!</v>
      </c>
      <c r="AH329" s="393" t="e">
        <f t="shared" si="137"/>
        <v>#DIV/0!</v>
      </c>
      <c r="AI329" s="393" t="e">
        <f t="shared" si="138"/>
        <v>#DIV/0!</v>
      </c>
      <c r="AJ329" s="393" t="e">
        <f t="shared" si="139"/>
        <v>#DIV/0!</v>
      </c>
      <c r="AK329" s="393" t="e">
        <f t="shared" si="140"/>
        <v>#DIV/0!</v>
      </c>
      <c r="AL329" s="393" t="e">
        <f t="shared" si="141"/>
        <v>#DIV/0!</v>
      </c>
      <c r="AM329" s="393" t="e">
        <f t="shared" si="142"/>
        <v>#DIV/0!</v>
      </c>
      <c r="AN329" s="393" t="e">
        <f t="shared" si="143"/>
        <v>#DIV/0!</v>
      </c>
      <c r="AO329" s="393" t="e">
        <f t="shared" si="144"/>
        <v>#DIV/0!</v>
      </c>
      <c r="AP329" s="393" t="e">
        <f t="shared" si="145"/>
        <v>#DIV/0!</v>
      </c>
      <c r="AQ329" s="393" t="e">
        <f t="shared" si="146"/>
        <v>#DIV/0!</v>
      </c>
      <c r="AR329" s="393" t="e">
        <f t="shared" si="147"/>
        <v>#DIV/0!</v>
      </c>
      <c r="AS329" s="393" t="e">
        <f t="shared" si="148"/>
        <v>#DIV/0!</v>
      </c>
      <c r="AT329" s="393" t="e">
        <f t="shared" si="149"/>
        <v>#DIV/0!</v>
      </c>
      <c r="AU329" s="393" t="e">
        <f t="shared" si="150"/>
        <v>#DIV/0!</v>
      </c>
      <c r="AV329" s="393" t="e">
        <f t="shared" si="151"/>
        <v>#DIV/0!</v>
      </c>
      <c r="AW329" s="393" t="e">
        <f t="shared" si="152"/>
        <v>#DIV/0!</v>
      </c>
      <c r="AX329" s="393" t="e">
        <f t="shared" si="153"/>
        <v>#DIV/0!</v>
      </c>
      <c r="AY329" s="393" t="e">
        <f t="shared" si="154"/>
        <v>#DIV/0!</v>
      </c>
      <c r="AZ329" s="393" t="e">
        <f t="shared" si="155"/>
        <v>#DIV/0!</v>
      </c>
      <c r="BA329" s="393" t="e">
        <f t="shared" si="156"/>
        <v>#DIV/0!</v>
      </c>
      <c r="BB329" s="393" t="e">
        <f t="shared" si="157"/>
        <v>#DIV/0!</v>
      </c>
    </row>
    <row r="330" spans="1:54" x14ac:dyDescent="0.25">
      <c r="A330" s="361" t="s">
        <v>1612</v>
      </c>
      <c r="B330" s="480"/>
      <c r="C330" s="480"/>
      <c r="D330" s="480"/>
      <c r="E330" s="480"/>
      <c r="F330" s="480"/>
      <c r="G330" s="480"/>
      <c r="H330" s="480"/>
      <c r="I330" s="480"/>
      <c r="J330" s="480"/>
      <c r="K330" s="480"/>
      <c r="L330" s="480"/>
      <c r="M330" s="480"/>
      <c r="N330" s="480"/>
      <c r="O330" s="480"/>
      <c r="P330" s="480"/>
      <c r="Q330" s="480"/>
      <c r="R330" s="480"/>
      <c r="S330" s="480">
        <f>926/1800</f>
        <v>0.51439999999999997</v>
      </c>
      <c r="T330" s="480"/>
      <c r="U330" s="480"/>
      <c r="V330" s="480"/>
      <c r="W330" s="480"/>
      <c r="X330" s="480"/>
      <c r="Y330" s="480"/>
      <c r="Z330" s="480"/>
      <c r="AA330" s="480"/>
      <c r="AB330" s="480"/>
      <c r="AC330" s="393" t="e">
        <f t="shared" si="132"/>
        <v>#DIV/0!</v>
      </c>
      <c r="AD330" s="393" t="e">
        <f t="shared" si="133"/>
        <v>#DIV/0!</v>
      </c>
      <c r="AE330" s="393" t="e">
        <f t="shared" si="134"/>
        <v>#DIV/0!</v>
      </c>
      <c r="AF330" s="393" t="e">
        <f t="shared" si="135"/>
        <v>#DIV/0!</v>
      </c>
      <c r="AG330" s="393" t="e">
        <f t="shared" si="136"/>
        <v>#DIV/0!</v>
      </c>
      <c r="AH330" s="393" t="e">
        <f t="shared" si="137"/>
        <v>#DIV/0!</v>
      </c>
      <c r="AI330" s="393" t="e">
        <f t="shared" si="138"/>
        <v>#DIV/0!</v>
      </c>
      <c r="AJ330" s="393" t="e">
        <f t="shared" si="139"/>
        <v>#DIV/0!</v>
      </c>
      <c r="AK330" s="393" t="e">
        <f t="shared" si="140"/>
        <v>#DIV/0!</v>
      </c>
      <c r="AL330" s="393" t="e">
        <f t="shared" si="141"/>
        <v>#DIV/0!</v>
      </c>
      <c r="AM330" s="393" t="e">
        <f t="shared" si="142"/>
        <v>#DIV/0!</v>
      </c>
      <c r="AN330" s="393" t="e">
        <f t="shared" si="143"/>
        <v>#DIV/0!</v>
      </c>
      <c r="AO330" s="393" t="e">
        <f t="shared" si="144"/>
        <v>#DIV/0!</v>
      </c>
      <c r="AP330" s="393" t="e">
        <f t="shared" si="145"/>
        <v>#DIV/0!</v>
      </c>
      <c r="AQ330" s="393" t="e">
        <f t="shared" si="146"/>
        <v>#DIV/0!</v>
      </c>
      <c r="AR330" s="393" t="e">
        <f t="shared" si="147"/>
        <v>#DIV/0!</v>
      </c>
      <c r="AS330" s="393" t="e">
        <f t="shared" si="148"/>
        <v>#DIV/0!</v>
      </c>
      <c r="AT330" s="393">
        <f t="shared" si="149"/>
        <v>-100</v>
      </c>
      <c r="AU330" s="393" t="e">
        <f t="shared" si="150"/>
        <v>#DIV/0!</v>
      </c>
      <c r="AV330" s="393" t="e">
        <f t="shared" si="151"/>
        <v>#DIV/0!</v>
      </c>
      <c r="AW330" s="393" t="e">
        <f t="shared" si="152"/>
        <v>#DIV/0!</v>
      </c>
      <c r="AX330" s="393" t="e">
        <f t="shared" si="153"/>
        <v>#DIV/0!</v>
      </c>
      <c r="AY330" s="393" t="e">
        <f t="shared" si="154"/>
        <v>#DIV/0!</v>
      </c>
      <c r="AZ330" s="393" t="e">
        <f t="shared" si="155"/>
        <v>#DIV/0!</v>
      </c>
      <c r="BA330" s="393" t="e">
        <f t="shared" si="156"/>
        <v>#DIV/0!</v>
      </c>
      <c r="BB330" s="393" t="e">
        <f t="shared" si="157"/>
        <v>#DIV/0!</v>
      </c>
    </row>
    <row r="331" spans="1:54" x14ac:dyDescent="0.25">
      <c r="A331" s="361" t="s">
        <v>3309</v>
      </c>
      <c r="B331" s="480"/>
      <c r="C331" s="480"/>
      <c r="D331" s="480"/>
      <c r="E331" s="480"/>
      <c r="F331" s="480"/>
      <c r="G331" s="480"/>
      <c r="H331" s="480"/>
      <c r="I331" s="480"/>
      <c r="J331" s="480">
        <f>662/1200</f>
        <v>0.55169999999999997</v>
      </c>
      <c r="K331" s="480">
        <f>674/1200</f>
        <v>0.56169999999999998</v>
      </c>
      <c r="L331" s="480"/>
      <c r="M331" s="480"/>
      <c r="N331" s="480"/>
      <c r="O331" s="480"/>
      <c r="P331" s="480"/>
      <c r="Q331" s="480"/>
      <c r="R331" s="480"/>
      <c r="S331" s="480"/>
      <c r="T331" s="480"/>
      <c r="U331" s="480"/>
      <c r="V331" s="480"/>
      <c r="W331" s="480"/>
      <c r="X331" s="480"/>
      <c r="Y331" s="480"/>
      <c r="Z331" s="480"/>
      <c r="AA331" s="480"/>
      <c r="AB331" s="480"/>
      <c r="AC331" s="393" t="e">
        <f t="shared" si="132"/>
        <v>#DIV/0!</v>
      </c>
      <c r="AD331" s="393" t="e">
        <f t="shared" si="133"/>
        <v>#DIV/0!</v>
      </c>
      <c r="AE331" s="393" t="e">
        <f t="shared" si="134"/>
        <v>#DIV/0!</v>
      </c>
      <c r="AF331" s="393" t="e">
        <f t="shared" si="135"/>
        <v>#DIV/0!</v>
      </c>
      <c r="AG331" s="393" t="e">
        <f t="shared" si="136"/>
        <v>#DIV/0!</v>
      </c>
      <c r="AH331" s="393" t="e">
        <f t="shared" si="137"/>
        <v>#DIV/0!</v>
      </c>
      <c r="AI331" s="393" t="e">
        <f t="shared" si="138"/>
        <v>#DIV/0!</v>
      </c>
      <c r="AJ331" s="393" t="e">
        <f t="shared" si="139"/>
        <v>#DIV/0!</v>
      </c>
      <c r="AK331" s="393">
        <f t="shared" si="140"/>
        <v>1.8129999999999999</v>
      </c>
      <c r="AL331" s="393">
        <f t="shared" si="141"/>
        <v>-100</v>
      </c>
      <c r="AM331" s="393" t="e">
        <f t="shared" si="142"/>
        <v>#DIV/0!</v>
      </c>
      <c r="AN331" s="393" t="e">
        <f t="shared" si="143"/>
        <v>#DIV/0!</v>
      </c>
      <c r="AO331" s="393" t="e">
        <f t="shared" si="144"/>
        <v>#DIV/0!</v>
      </c>
      <c r="AP331" s="393" t="e">
        <f t="shared" si="145"/>
        <v>#DIV/0!</v>
      </c>
      <c r="AQ331" s="393" t="e">
        <f t="shared" si="146"/>
        <v>#DIV/0!</v>
      </c>
      <c r="AR331" s="393" t="e">
        <f t="shared" si="147"/>
        <v>#DIV/0!</v>
      </c>
      <c r="AS331" s="393" t="e">
        <f t="shared" si="148"/>
        <v>#DIV/0!</v>
      </c>
      <c r="AT331" s="393" t="e">
        <f t="shared" si="149"/>
        <v>#DIV/0!</v>
      </c>
      <c r="AU331" s="393" t="e">
        <f t="shared" si="150"/>
        <v>#DIV/0!</v>
      </c>
      <c r="AV331" s="393" t="e">
        <f t="shared" si="151"/>
        <v>#DIV/0!</v>
      </c>
      <c r="AW331" s="393" t="e">
        <f t="shared" si="152"/>
        <v>#DIV/0!</v>
      </c>
      <c r="AX331" s="393" t="e">
        <f t="shared" si="153"/>
        <v>#DIV/0!</v>
      </c>
      <c r="AY331" s="393" t="e">
        <f t="shared" si="154"/>
        <v>#DIV/0!</v>
      </c>
      <c r="AZ331" s="393" t="e">
        <f t="shared" si="155"/>
        <v>#DIV/0!</v>
      </c>
      <c r="BA331" s="393" t="e">
        <f t="shared" si="156"/>
        <v>#DIV/0!</v>
      </c>
      <c r="BB331" s="393" t="e">
        <f t="shared" si="157"/>
        <v>#DIV/0!</v>
      </c>
    </row>
    <row r="332" spans="1:54" x14ac:dyDescent="0.25">
      <c r="A332" s="361" t="s">
        <v>1309</v>
      </c>
      <c r="B332" s="480"/>
      <c r="C332" s="480"/>
      <c r="D332" s="480"/>
      <c r="E332" s="480"/>
      <c r="F332" s="480"/>
      <c r="G332" s="480">
        <f>1566/2400</f>
        <v>0.65249999999999997</v>
      </c>
      <c r="H332" s="480">
        <f>775/1200</f>
        <v>0.64580000000000004</v>
      </c>
      <c r="I332" s="480">
        <f>860/1200</f>
        <v>0.7167</v>
      </c>
      <c r="J332" s="480">
        <f>841/1200</f>
        <v>0.70079999999999998</v>
      </c>
      <c r="K332" s="480">
        <f>857/1200</f>
        <v>0.71419999999999995</v>
      </c>
      <c r="L332" s="480"/>
      <c r="M332" s="480"/>
      <c r="N332" s="480"/>
      <c r="O332" s="480"/>
      <c r="P332" s="480"/>
      <c r="Q332" s="480"/>
      <c r="R332" s="480"/>
      <c r="S332" s="480"/>
      <c r="T332" s="480"/>
      <c r="U332" s="480"/>
      <c r="V332" s="481"/>
      <c r="W332" s="481"/>
      <c r="X332" s="481"/>
      <c r="Y332" s="481"/>
      <c r="Z332" s="481"/>
      <c r="AA332" s="481"/>
      <c r="AB332" s="481"/>
      <c r="AC332" s="393" t="e">
        <f t="shared" si="132"/>
        <v>#DIV/0!</v>
      </c>
      <c r="AD332" s="393" t="e">
        <f t="shared" si="133"/>
        <v>#DIV/0!</v>
      </c>
      <c r="AE332" s="393" t="e">
        <f t="shared" si="134"/>
        <v>#DIV/0!</v>
      </c>
      <c r="AF332" s="393" t="e">
        <f t="shared" si="135"/>
        <v>#DIV/0!</v>
      </c>
      <c r="AG332" s="393" t="e">
        <f t="shared" si="136"/>
        <v>#DIV/0!</v>
      </c>
      <c r="AH332" s="393">
        <f t="shared" si="137"/>
        <v>-1.0269999999999999</v>
      </c>
      <c r="AI332" s="393">
        <f t="shared" si="138"/>
        <v>10.978999999999999</v>
      </c>
      <c r="AJ332" s="393">
        <f t="shared" si="139"/>
        <v>-2.2189999999999999</v>
      </c>
      <c r="AK332" s="393">
        <f t="shared" si="140"/>
        <v>1.9119999999999999</v>
      </c>
      <c r="AL332" s="393">
        <f t="shared" si="141"/>
        <v>-100</v>
      </c>
      <c r="AM332" s="393" t="e">
        <f t="shared" si="142"/>
        <v>#DIV/0!</v>
      </c>
      <c r="AN332" s="393" t="e">
        <f t="shared" si="143"/>
        <v>#DIV/0!</v>
      </c>
      <c r="AO332" s="393" t="e">
        <f t="shared" si="144"/>
        <v>#DIV/0!</v>
      </c>
      <c r="AP332" s="393" t="e">
        <f t="shared" si="145"/>
        <v>#DIV/0!</v>
      </c>
      <c r="AQ332" s="393" t="e">
        <f t="shared" si="146"/>
        <v>#DIV/0!</v>
      </c>
      <c r="AR332" s="393" t="e">
        <f t="shared" si="147"/>
        <v>#DIV/0!</v>
      </c>
      <c r="AS332" s="393" t="e">
        <f t="shared" si="148"/>
        <v>#DIV/0!</v>
      </c>
      <c r="AT332" s="393" t="e">
        <f t="shared" si="149"/>
        <v>#DIV/0!</v>
      </c>
      <c r="AU332" s="393" t="e">
        <f t="shared" si="150"/>
        <v>#DIV/0!</v>
      </c>
      <c r="AV332" s="393" t="e">
        <f t="shared" si="151"/>
        <v>#DIV/0!</v>
      </c>
      <c r="AW332" s="393" t="e">
        <f t="shared" si="152"/>
        <v>#DIV/0!</v>
      </c>
      <c r="AX332" s="393" t="e">
        <f t="shared" si="153"/>
        <v>#DIV/0!</v>
      </c>
      <c r="AY332" s="393" t="e">
        <f t="shared" si="154"/>
        <v>#DIV/0!</v>
      </c>
      <c r="AZ332" s="393" t="e">
        <f t="shared" si="155"/>
        <v>#DIV/0!</v>
      </c>
      <c r="BA332" s="393" t="e">
        <f t="shared" si="156"/>
        <v>#DIV/0!</v>
      </c>
      <c r="BB332" s="393" t="e">
        <f t="shared" si="157"/>
        <v>#DIV/0!</v>
      </c>
    </row>
    <row r="333" spans="1:54" x14ac:dyDescent="0.25">
      <c r="A333" s="361" t="s">
        <v>2697</v>
      </c>
      <c r="B333" s="480"/>
      <c r="C333" s="480"/>
      <c r="D333" s="480"/>
      <c r="E333" s="480"/>
      <c r="F333" s="480"/>
      <c r="G333" s="480"/>
      <c r="H333" s="480"/>
      <c r="I333" s="480"/>
      <c r="J333" s="480"/>
      <c r="K333" s="480"/>
      <c r="L333" s="480"/>
      <c r="M333" s="480"/>
      <c r="N333" s="480"/>
      <c r="O333" s="480"/>
      <c r="P333" s="480"/>
      <c r="Q333" s="480"/>
      <c r="R333" s="480"/>
      <c r="S333" s="480"/>
      <c r="T333" s="480"/>
      <c r="U333" s="480">
        <f>1207/1800</f>
        <v>0.67059999999999997</v>
      </c>
      <c r="V333" s="480"/>
      <c r="W333" s="480"/>
      <c r="X333" s="480"/>
      <c r="Y333" s="480"/>
      <c r="Z333" s="480"/>
      <c r="AA333" s="480"/>
      <c r="AB333" s="480"/>
      <c r="AC333" s="393" t="e">
        <f t="shared" si="132"/>
        <v>#DIV/0!</v>
      </c>
      <c r="AD333" s="393" t="e">
        <f t="shared" si="133"/>
        <v>#DIV/0!</v>
      </c>
      <c r="AE333" s="393" t="e">
        <f t="shared" si="134"/>
        <v>#DIV/0!</v>
      </c>
      <c r="AF333" s="393" t="e">
        <f t="shared" si="135"/>
        <v>#DIV/0!</v>
      </c>
      <c r="AG333" s="393" t="e">
        <f t="shared" si="136"/>
        <v>#DIV/0!</v>
      </c>
      <c r="AH333" s="393" t="e">
        <f t="shared" si="137"/>
        <v>#DIV/0!</v>
      </c>
      <c r="AI333" s="393" t="e">
        <f t="shared" si="138"/>
        <v>#DIV/0!</v>
      </c>
      <c r="AJ333" s="393" t="e">
        <f t="shared" si="139"/>
        <v>#DIV/0!</v>
      </c>
      <c r="AK333" s="393" t="e">
        <f t="shared" si="140"/>
        <v>#DIV/0!</v>
      </c>
      <c r="AL333" s="393" t="e">
        <f t="shared" si="141"/>
        <v>#DIV/0!</v>
      </c>
      <c r="AM333" s="393" t="e">
        <f t="shared" si="142"/>
        <v>#DIV/0!</v>
      </c>
      <c r="AN333" s="393" t="e">
        <f t="shared" si="143"/>
        <v>#DIV/0!</v>
      </c>
      <c r="AO333" s="393" t="e">
        <f t="shared" si="144"/>
        <v>#DIV/0!</v>
      </c>
      <c r="AP333" s="393" t="e">
        <f t="shared" si="145"/>
        <v>#DIV/0!</v>
      </c>
      <c r="AQ333" s="393" t="e">
        <f t="shared" si="146"/>
        <v>#DIV/0!</v>
      </c>
      <c r="AR333" s="393" t="e">
        <f t="shared" si="147"/>
        <v>#DIV/0!</v>
      </c>
      <c r="AS333" s="393" t="e">
        <f t="shared" si="148"/>
        <v>#DIV/0!</v>
      </c>
      <c r="AT333" s="393" t="e">
        <f t="shared" si="149"/>
        <v>#DIV/0!</v>
      </c>
      <c r="AU333" s="393" t="e">
        <f t="shared" si="150"/>
        <v>#DIV/0!</v>
      </c>
      <c r="AV333" s="393">
        <f t="shared" si="151"/>
        <v>-100</v>
      </c>
      <c r="AW333" s="393" t="e">
        <f t="shared" si="152"/>
        <v>#DIV/0!</v>
      </c>
      <c r="AX333" s="393" t="e">
        <f t="shared" si="153"/>
        <v>#DIV/0!</v>
      </c>
      <c r="AY333" s="393" t="e">
        <f t="shared" si="154"/>
        <v>#DIV/0!</v>
      </c>
      <c r="AZ333" s="393" t="e">
        <f t="shared" si="155"/>
        <v>#DIV/0!</v>
      </c>
      <c r="BA333" s="393" t="e">
        <f t="shared" si="156"/>
        <v>#DIV/0!</v>
      </c>
      <c r="BB333" s="393" t="e">
        <f t="shared" si="157"/>
        <v>#DIV/0!</v>
      </c>
    </row>
    <row r="334" spans="1:54" x14ac:dyDescent="0.25">
      <c r="A334" s="360" t="s">
        <v>1213</v>
      </c>
      <c r="B334" s="480"/>
      <c r="C334" s="480"/>
      <c r="D334" s="480"/>
      <c r="E334" s="480"/>
      <c r="F334" s="480"/>
      <c r="G334" s="480"/>
      <c r="H334" s="480">
        <f>494/1200</f>
        <v>0.41170000000000001</v>
      </c>
      <c r="I334" s="480"/>
      <c r="J334" s="480"/>
      <c r="K334" s="480"/>
      <c r="L334" s="480"/>
      <c r="M334" s="480"/>
      <c r="N334" s="480"/>
      <c r="O334" s="480"/>
      <c r="P334" s="480"/>
      <c r="Q334" s="480"/>
      <c r="R334" s="480"/>
      <c r="S334" s="480"/>
      <c r="T334" s="480"/>
      <c r="U334" s="480"/>
      <c r="V334" s="480"/>
      <c r="W334" s="480"/>
      <c r="X334" s="480"/>
      <c r="Y334" s="480"/>
      <c r="Z334" s="480"/>
      <c r="AA334" s="480"/>
      <c r="AB334" s="480"/>
      <c r="AC334" s="393" t="e">
        <f t="shared" si="132"/>
        <v>#DIV/0!</v>
      </c>
      <c r="AD334" s="393" t="e">
        <f t="shared" si="133"/>
        <v>#DIV/0!</v>
      </c>
      <c r="AE334" s="393" t="e">
        <f t="shared" si="134"/>
        <v>#DIV/0!</v>
      </c>
      <c r="AF334" s="393" t="e">
        <f t="shared" si="135"/>
        <v>#DIV/0!</v>
      </c>
      <c r="AG334" s="393" t="e">
        <f t="shared" si="136"/>
        <v>#DIV/0!</v>
      </c>
      <c r="AH334" s="393" t="e">
        <f t="shared" si="137"/>
        <v>#DIV/0!</v>
      </c>
      <c r="AI334" s="393">
        <f t="shared" si="138"/>
        <v>-100</v>
      </c>
      <c r="AJ334" s="393" t="e">
        <f t="shared" si="139"/>
        <v>#DIV/0!</v>
      </c>
      <c r="AK334" s="393" t="e">
        <f t="shared" si="140"/>
        <v>#DIV/0!</v>
      </c>
      <c r="AL334" s="393" t="e">
        <f t="shared" si="141"/>
        <v>#DIV/0!</v>
      </c>
      <c r="AM334" s="393" t="e">
        <f t="shared" si="142"/>
        <v>#DIV/0!</v>
      </c>
      <c r="AN334" s="393" t="e">
        <f t="shared" si="143"/>
        <v>#DIV/0!</v>
      </c>
      <c r="AO334" s="393" t="e">
        <f t="shared" si="144"/>
        <v>#DIV/0!</v>
      </c>
      <c r="AP334" s="393" t="e">
        <f t="shared" si="145"/>
        <v>#DIV/0!</v>
      </c>
      <c r="AQ334" s="393" t="e">
        <f t="shared" si="146"/>
        <v>#DIV/0!</v>
      </c>
      <c r="AR334" s="393" t="e">
        <f t="shared" si="147"/>
        <v>#DIV/0!</v>
      </c>
      <c r="AS334" s="393" t="e">
        <f t="shared" si="148"/>
        <v>#DIV/0!</v>
      </c>
      <c r="AT334" s="393" t="e">
        <f t="shared" si="149"/>
        <v>#DIV/0!</v>
      </c>
      <c r="AU334" s="393" t="e">
        <f t="shared" si="150"/>
        <v>#DIV/0!</v>
      </c>
      <c r="AV334" s="393" t="e">
        <f t="shared" si="151"/>
        <v>#DIV/0!</v>
      </c>
      <c r="AW334" s="393" t="e">
        <f t="shared" si="152"/>
        <v>#DIV/0!</v>
      </c>
      <c r="AX334" s="393" t="e">
        <f t="shared" si="153"/>
        <v>#DIV/0!</v>
      </c>
      <c r="AY334" s="393" t="e">
        <f t="shared" si="154"/>
        <v>#DIV/0!</v>
      </c>
      <c r="AZ334" s="393" t="e">
        <f t="shared" si="155"/>
        <v>#DIV/0!</v>
      </c>
      <c r="BA334" s="393" t="e">
        <f t="shared" si="156"/>
        <v>#DIV/0!</v>
      </c>
      <c r="BB334" s="393" t="e">
        <f t="shared" si="157"/>
        <v>#DIV/0!</v>
      </c>
    </row>
    <row r="335" spans="1:54" x14ac:dyDescent="0.25">
      <c r="A335" s="361" t="s">
        <v>1561</v>
      </c>
      <c r="B335" s="480"/>
      <c r="C335" s="480"/>
      <c r="D335" s="480"/>
      <c r="E335" s="480"/>
      <c r="F335" s="480"/>
      <c r="G335" s="480"/>
      <c r="H335" s="480"/>
      <c r="I335" s="480"/>
      <c r="J335" s="480"/>
      <c r="K335" s="480"/>
      <c r="L335" s="480"/>
      <c r="M335" s="480"/>
      <c r="N335" s="480"/>
      <c r="O335" s="480">
        <f>608/1200</f>
        <v>0.50670000000000004</v>
      </c>
      <c r="P335" s="480"/>
      <c r="Q335" s="480"/>
      <c r="R335" s="480"/>
      <c r="S335" s="480"/>
      <c r="T335" s="480"/>
      <c r="U335" s="480"/>
      <c r="V335" s="480"/>
      <c r="W335" s="480"/>
      <c r="X335" s="480"/>
      <c r="Y335" s="480"/>
      <c r="Z335" s="480"/>
      <c r="AA335" s="480"/>
      <c r="AB335" s="480"/>
      <c r="AC335" s="393" t="e">
        <f t="shared" si="132"/>
        <v>#DIV/0!</v>
      </c>
      <c r="AD335" s="393" t="e">
        <f t="shared" si="133"/>
        <v>#DIV/0!</v>
      </c>
      <c r="AE335" s="393" t="e">
        <f t="shared" si="134"/>
        <v>#DIV/0!</v>
      </c>
      <c r="AF335" s="393" t="e">
        <f t="shared" si="135"/>
        <v>#DIV/0!</v>
      </c>
      <c r="AG335" s="393" t="e">
        <f t="shared" si="136"/>
        <v>#DIV/0!</v>
      </c>
      <c r="AH335" s="393" t="e">
        <f t="shared" si="137"/>
        <v>#DIV/0!</v>
      </c>
      <c r="AI335" s="393" t="e">
        <f t="shared" si="138"/>
        <v>#DIV/0!</v>
      </c>
      <c r="AJ335" s="393" t="e">
        <f t="shared" si="139"/>
        <v>#DIV/0!</v>
      </c>
      <c r="AK335" s="393" t="e">
        <f t="shared" si="140"/>
        <v>#DIV/0!</v>
      </c>
      <c r="AL335" s="393" t="e">
        <f t="shared" si="141"/>
        <v>#DIV/0!</v>
      </c>
      <c r="AM335" s="393" t="e">
        <f t="shared" si="142"/>
        <v>#DIV/0!</v>
      </c>
      <c r="AN335" s="393" t="e">
        <f t="shared" si="143"/>
        <v>#DIV/0!</v>
      </c>
      <c r="AO335" s="393" t="e">
        <f t="shared" si="144"/>
        <v>#DIV/0!</v>
      </c>
      <c r="AP335" s="393">
        <f t="shared" si="145"/>
        <v>-100</v>
      </c>
      <c r="AQ335" s="393" t="e">
        <f t="shared" si="146"/>
        <v>#DIV/0!</v>
      </c>
      <c r="AR335" s="393" t="e">
        <f t="shared" si="147"/>
        <v>#DIV/0!</v>
      </c>
      <c r="AS335" s="393" t="e">
        <f t="shared" si="148"/>
        <v>#DIV/0!</v>
      </c>
      <c r="AT335" s="393" t="e">
        <f t="shared" si="149"/>
        <v>#DIV/0!</v>
      </c>
      <c r="AU335" s="393" t="e">
        <f t="shared" si="150"/>
        <v>#DIV/0!</v>
      </c>
      <c r="AV335" s="393" t="e">
        <f t="shared" si="151"/>
        <v>#DIV/0!</v>
      </c>
      <c r="AW335" s="393" t="e">
        <f t="shared" si="152"/>
        <v>#DIV/0!</v>
      </c>
      <c r="AX335" s="393" t="e">
        <f t="shared" si="153"/>
        <v>#DIV/0!</v>
      </c>
      <c r="AY335" s="393" t="e">
        <f t="shared" si="154"/>
        <v>#DIV/0!</v>
      </c>
      <c r="AZ335" s="393" t="e">
        <f t="shared" si="155"/>
        <v>#DIV/0!</v>
      </c>
      <c r="BA335" s="393" t="e">
        <f t="shared" si="156"/>
        <v>#DIV/0!</v>
      </c>
      <c r="BB335" s="393" t="e">
        <f t="shared" si="157"/>
        <v>#DIV/0!</v>
      </c>
    </row>
    <row r="336" spans="1:54" x14ac:dyDescent="0.25">
      <c r="A336" s="361" t="s">
        <v>908</v>
      </c>
      <c r="B336" s="480"/>
      <c r="C336" s="480"/>
      <c r="D336" s="480"/>
      <c r="E336" s="480"/>
      <c r="F336" s="480"/>
      <c r="G336" s="480"/>
      <c r="H336" s="480"/>
      <c r="I336" s="480"/>
      <c r="J336" s="480"/>
      <c r="K336" s="480"/>
      <c r="L336" s="480"/>
      <c r="M336" s="480"/>
      <c r="N336" s="480"/>
      <c r="O336" s="480"/>
      <c r="P336" s="480"/>
      <c r="Q336" s="480"/>
      <c r="R336" s="480"/>
      <c r="S336" s="480"/>
      <c r="T336" s="480"/>
      <c r="U336" s="480"/>
      <c r="V336" s="481"/>
      <c r="W336" s="481">
        <f>799/1200</f>
        <v>0.66579999999999995</v>
      </c>
      <c r="X336" s="481">
        <f>1243/1800</f>
        <v>0.69059999999999999</v>
      </c>
      <c r="Y336" s="481">
        <f>1239/1800</f>
        <v>0.68830000000000002</v>
      </c>
      <c r="Z336" s="481"/>
      <c r="AA336" s="481"/>
      <c r="AB336" s="481"/>
      <c r="AC336" s="393" t="e">
        <f t="shared" si="132"/>
        <v>#DIV/0!</v>
      </c>
      <c r="AD336" s="393" t="e">
        <f t="shared" si="133"/>
        <v>#DIV/0!</v>
      </c>
      <c r="AE336" s="393" t="e">
        <f t="shared" si="134"/>
        <v>#DIV/0!</v>
      </c>
      <c r="AF336" s="393" t="e">
        <f t="shared" si="135"/>
        <v>#DIV/0!</v>
      </c>
      <c r="AG336" s="393" t="e">
        <f t="shared" si="136"/>
        <v>#DIV/0!</v>
      </c>
      <c r="AH336" s="393" t="e">
        <f t="shared" si="137"/>
        <v>#DIV/0!</v>
      </c>
      <c r="AI336" s="393" t="e">
        <f t="shared" si="138"/>
        <v>#DIV/0!</v>
      </c>
      <c r="AJ336" s="393" t="e">
        <f t="shared" si="139"/>
        <v>#DIV/0!</v>
      </c>
      <c r="AK336" s="393" t="e">
        <f t="shared" si="140"/>
        <v>#DIV/0!</v>
      </c>
      <c r="AL336" s="393" t="e">
        <f t="shared" si="141"/>
        <v>#DIV/0!</v>
      </c>
      <c r="AM336" s="393" t="e">
        <f t="shared" si="142"/>
        <v>#DIV/0!</v>
      </c>
      <c r="AN336" s="393" t="e">
        <f t="shared" si="143"/>
        <v>#DIV/0!</v>
      </c>
      <c r="AO336" s="393" t="e">
        <f t="shared" si="144"/>
        <v>#DIV/0!</v>
      </c>
      <c r="AP336" s="393" t="e">
        <f t="shared" si="145"/>
        <v>#DIV/0!</v>
      </c>
      <c r="AQ336" s="393" t="e">
        <f t="shared" si="146"/>
        <v>#DIV/0!</v>
      </c>
      <c r="AR336" s="393" t="e">
        <f t="shared" si="147"/>
        <v>#DIV/0!</v>
      </c>
      <c r="AS336" s="393" t="e">
        <f t="shared" si="148"/>
        <v>#DIV/0!</v>
      </c>
      <c r="AT336" s="393" t="e">
        <f t="shared" si="149"/>
        <v>#DIV/0!</v>
      </c>
      <c r="AU336" s="393" t="e">
        <f t="shared" si="150"/>
        <v>#DIV/0!</v>
      </c>
      <c r="AV336" s="393" t="e">
        <f t="shared" si="151"/>
        <v>#DIV/0!</v>
      </c>
      <c r="AW336" s="393" t="e">
        <f t="shared" si="152"/>
        <v>#DIV/0!</v>
      </c>
      <c r="AX336" s="393">
        <f t="shared" si="153"/>
        <v>3.7250000000000001</v>
      </c>
      <c r="AY336" s="393">
        <f t="shared" si="154"/>
        <v>-0.33300000000000002</v>
      </c>
      <c r="AZ336" s="393">
        <f t="shared" si="155"/>
        <v>-100</v>
      </c>
      <c r="BA336" s="393" t="e">
        <f t="shared" si="156"/>
        <v>#DIV/0!</v>
      </c>
      <c r="BB336" s="393" t="e">
        <f t="shared" si="157"/>
        <v>#DIV/0!</v>
      </c>
    </row>
    <row r="337" spans="1:54" x14ac:dyDescent="0.25">
      <c r="A337" s="355" t="s">
        <v>2244</v>
      </c>
      <c r="B337" s="480"/>
      <c r="C337" s="480"/>
      <c r="D337" s="480"/>
      <c r="E337" s="480"/>
      <c r="F337" s="480">
        <f>618/1200</f>
        <v>0.51500000000000001</v>
      </c>
      <c r="G337" s="480">
        <f>1217/2400</f>
        <v>0.5071</v>
      </c>
      <c r="H337" s="480">
        <f>579/1200</f>
        <v>0.48249999999999998</v>
      </c>
      <c r="I337" s="480">
        <f>621/1200</f>
        <v>0.51749999999999996</v>
      </c>
      <c r="J337" s="480">
        <f>658/1200</f>
        <v>0.54830000000000001</v>
      </c>
      <c r="K337" s="480">
        <f>644/1200</f>
        <v>0.53669999999999995</v>
      </c>
      <c r="L337" s="480"/>
      <c r="M337" s="480">
        <f>636/1200</f>
        <v>0.53</v>
      </c>
      <c r="N337" s="480"/>
      <c r="O337" s="480"/>
      <c r="P337" s="480"/>
      <c r="Q337" s="480">
        <f>979/1800</f>
        <v>0.54390000000000005</v>
      </c>
      <c r="R337" s="480"/>
      <c r="S337" s="480"/>
      <c r="T337" s="480"/>
      <c r="U337" s="480"/>
      <c r="V337" s="480"/>
      <c r="W337" s="480"/>
      <c r="X337" s="480"/>
      <c r="Y337" s="480"/>
      <c r="Z337" s="480"/>
      <c r="AA337" s="480"/>
      <c r="AB337" s="480"/>
      <c r="AC337" s="393" t="e">
        <f t="shared" si="132"/>
        <v>#DIV/0!</v>
      </c>
      <c r="AD337" s="393" t="e">
        <f t="shared" si="133"/>
        <v>#DIV/0!</v>
      </c>
      <c r="AE337" s="393" t="e">
        <f t="shared" si="134"/>
        <v>#DIV/0!</v>
      </c>
      <c r="AF337" s="393" t="e">
        <f t="shared" si="135"/>
        <v>#DIV/0!</v>
      </c>
      <c r="AG337" s="393">
        <f t="shared" si="136"/>
        <v>-1.534</v>
      </c>
      <c r="AH337" s="393">
        <f t="shared" si="137"/>
        <v>-4.851</v>
      </c>
      <c r="AI337" s="393">
        <f t="shared" si="138"/>
        <v>7.2539999999999996</v>
      </c>
      <c r="AJ337" s="393">
        <f t="shared" si="139"/>
        <v>5.952</v>
      </c>
      <c r="AK337" s="393">
        <f t="shared" si="140"/>
        <v>-2.1160000000000001</v>
      </c>
      <c r="AL337" s="393">
        <f t="shared" si="141"/>
        <v>-100</v>
      </c>
      <c r="AM337" s="393" t="e">
        <f t="shared" si="142"/>
        <v>#DIV/0!</v>
      </c>
      <c r="AN337" s="393">
        <f t="shared" si="143"/>
        <v>-100</v>
      </c>
      <c r="AO337" s="393" t="e">
        <f t="shared" si="144"/>
        <v>#DIV/0!</v>
      </c>
      <c r="AP337" s="393" t="e">
        <f t="shared" si="145"/>
        <v>#DIV/0!</v>
      </c>
      <c r="AQ337" s="393" t="e">
        <f t="shared" si="146"/>
        <v>#DIV/0!</v>
      </c>
      <c r="AR337" s="393">
        <f t="shared" si="147"/>
        <v>-100</v>
      </c>
      <c r="AS337" s="393" t="e">
        <f t="shared" si="148"/>
        <v>#DIV/0!</v>
      </c>
      <c r="AT337" s="393" t="e">
        <f t="shared" si="149"/>
        <v>#DIV/0!</v>
      </c>
      <c r="AU337" s="393" t="e">
        <f t="shared" si="150"/>
        <v>#DIV/0!</v>
      </c>
      <c r="AV337" s="393" t="e">
        <f t="shared" si="151"/>
        <v>#DIV/0!</v>
      </c>
      <c r="AW337" s="393" t="e">
        <f t="shared" si="152"/>
        <v>#DIV/0!</v>
      </c>
      <c r="AX337" s="393" t="e">
        <f t="shared" si="153"/>
        <v>#DIV/0!</v>
      </c>
      <c r="AY337" s="393" t="e">
        <f t="shared" si="154"/>
        <v>#DIV/0!</v>
      </c>
      <c r="AZ337" s="393" t="e">
        <f t="shared" si="155"/>
        <v>#DIV/0!</v>
      </c>
      <c r="BA337" s="393" t="e">
        <f t="shared" si="156"/>
        <v>#DIV/0!</v>
      </c>
      <c r="BB337" s="393" t="e">
        <f t="shared" si="157"/>
        <v>#DIV/0!</v>
      </c>
    </row>
    <row r="338" spans="1:54" x14ac:dyDescent="0.25">
      <c r="A338" s="360" t="s">
        <v>4776</v>
      </c>
      <c r="B338" s="480"/>
      <c r="C338" s="480"/>
      <c r="D338" s="480"/>
      <c r="E338" s="480"/>
      <c r="F338" s="480"/>
      <c r="G338" s="480"/>
      <c r="H338" s="480"/>
      <c r="I338" s="480"/>
      <c r="J338" s="480"/>
      <c r="K338" s="480"/>
      <c r="L338" s="480"/>
      <c r="M338" s="480"/>
      <c r="N338" s="480"/>
      <c r="O338" s="480"/>
      <c r="P338" s="480"/>
      <c r="Q338" s="480"/>
      <c r="R338" s="480"/>
      <c r="S338" s="480"/>
      <c r="T338" s="480"/>
      <c r="U338" s="480"/>
      <c r="V338" s="480"/>
      <c r="W338" s="480"/>
      <c r="X338" s="480"/>
      <c r="Y338" s="480"/>
      <c r="Z338" s="480"/>
      <c r="AA338" s="480"/>
      <c r="AB338" s="480">
        <v>0.56299999999999994</v>
      </c>
      <c r="AC338" s="393" t="e">
        <f t="shared" si="132"/>
        <v>#DIV/0!</v>
      </c>
      <c r="AD338" s="393" t="e">
        <f t="shared" si="133"/>
        <v>#DIV/0!</v>
      </c>
      <c r="AE338" s="393" t="e">
        <f t="shared" si="134"/>
        <v>#DIV/0!</v>
      </c>
      <c r="AF338" s="393" t="e">
        <f t="shared" si="135"/>
        <v>#DIV/0!</v>
      </c>
      <c r="AG338" s="393" t="e">
        <f t="shared" si="136"/>
        <v>#DIV/0!</v>
      </c>
      <c r="AH338" s="393" t="e">
        <f t="shared" si="137"/>
        <v>#DIV/0!</v>
      </c>
      <c r="AI338" s="393" t="e">
        <f t="shared" si="138"/>
        <v>#DIV/0!</v>
      </c>
      <c r="AJ338" s="393" t="e">
        <f t="shared" si="139"/>
        <v>#DIV/0!</v>
      </c>
      <c r="AK338" s="393" t="e">
        <f t="shared" si="140"/>
        <v>#DIV/0!</v>
      </c>
      <c r="AL338" s="393" t="e">
        <f t="shared" si="141"/>
        <v>#DIV/0!</v>
      </c>
      <c r="AM338" s="393" t="e">
        <f t="shared" si="142"/>
        <v>#DIV/0!</v>
      </c>
      <c r="AN338" s="393" t="e">
        <f t="shared" si="143"/>
        <v>#DIV/0!</v>
      </c>
      <c r="AO338" s="393" t="e">
        <f t="shared" si="144"/>
        <v>#DIV/0!</v>
      </c>
      <c r="AP338" s="393" t="e">
        <f t="shared" si="145"/>
        <v>#DIV/0!</v>
      </c>
      <c r="AQ338" s="393" t="e">
        <f t="shared" si="146"/>
        <v>#DIV/0!</v>
      </c>
      <c r="AR338" s="393" t="e">
        <f t="shared" si="147"/>
        <v>#DIV/0!</v>
      </c>
      <c r="AS338" s="393" t="e">
        <f t="shared" si="148"/>
        <v>#DIV/0!</v>
      </c>
      <c r="AT338" s="393" t="e">
        <f t="shared" si="149"/>
        <v>#DIV/0!</v>
      </c>
      <c r="AU338" s="393" t="e">
        <f t="shared" si="150"/>
        <v>#DIV/0!</v>
      </c>
      <c r="AV338" s="393" t="e">
        <f t="shared" si="151"/>
        <v>#DIV/0!</v>
      </c>
      <c r="AW338" s="393" t="e">
        <f t="shared" si="152"/>
        <v>#DIV/0!</v>
      </c>
      <c r="AX338" s="393" t="e">
        <f t="shared" si="153"/>
        <v>#DIV/0!</v>
      </c>
      <c r="AY338" s="393" t="e">
        <f t="shared" si="154"/>
        <v>#DIV/0!</v>
      </c>
      <c r="AZ338" s="393" t="e">
        <f t="shared" si="155"/>
        <v>#DIV/0!</v>
      </c>
      <c r="BA338" s="393" t="e">
        <f t="shared" si="156"/>
        <v>#DIV/0!</v>
      </c>
      <c r="BB338" s="393" t="e">
        <f t="shared" si="157"/>
        <v>#DIV/0!</v>
      </c>
    </row>
    <row r="339" spans="1:54" x14ac:dyDescent="0.25">
      <c r="A339" s="355" t="s">
        <v>3303</v>
      </c>
      <c r="B339" s="480"/>
      <c r="C339" s="480"/>
      <c r="D339" s="480"/>
      <c r="E339" s="480"/>
      <c r="F339" s="480"/>
      <c r="G339" s="480"/>
      <c r="H339" s="480"/>
      <c r="I339" s="480">
        <f>640/1200</f>
        <v>0.5333</v>
      </c>
      <c r="J339" s="480"/>
      <c r="K339" s="480"/>
      <c r="L339" s="480"/>
      <c r="M339" s="480"/>
      <c r="N339" s="480"/>
      <c r="O339" s="480"/>
      <c r="P339" s="480"/>
      <c r="Q339" s="480"/>
      <c r="R339" s="480"/>
      <c r="S339" s="480"/>
      <c r="T339" s="480"/>
      <c r="U339" s="480"/>
      <c r="V339" s="480"/>
      <c r="W339" s="480"/>
      <c r="X339" s="480"/>
      <c r="Y339" s="480"/>
      <c r="Z339" s="480"/>
      <c r="AA339" s="480"/>
      <c r="AB339" s="480"/>
      <c r="AC339" s="393" t="e">
        <f t="shared" si="132"/>
        <v>#DIV/0!</v>
      </c>
      <c r="AD339" s="393" t="e">
        <f t="shared" si="133"/>
        <v>#DIV/0!</v>
      </c>
      <c r="AE339" s="393" t="e">
        <f t="shared" si="134"/>
        <v>#DIV/0!</v>
      </c>
      <c r="AF339" s="393" t="e">
        <f t="shared" si="135"/>
        <v>#DIV/0!</v>
      </c>
      <c r="AG339" s="393" t="e">
        <f t="shared" si="136"/>
        <v>#DIV/0!</v>
      </c>
      <c r="AH339" s="393" t="e">
        <f t="shared" si="137"/>
        <v>#DIV/0!</v>
      </c>
      <c r="AI339" s="393" t="e">
        <f t="shared" si="138"/>
        <v>#DIV/0!</v>
      </c>
      <c r="AJ339" s="393">
        <f t="shared" si="139"/>
        <v>-100</v>
      </c>
      <c r="AK339" s="393" t="e">
        <f t="shared" si="140"/>
        <v>#DIV/0!</v>
      </c>
      <c r="AL339" s="393" t="e">
        <f t="shared" si="141"/>
        <v>#DIV/0!</v>
      </c>
      <c r="AM339" s="393" t="e">
        <f t="shared" si="142"/>
        <v>#DIV/0!</v>
      </c>
      <c r="AN339" s="393" t="e">
        <f t="shared" si="143"/>
        <v>#DIV/0!</v>
      </c>
      <c r="AO339" s="393" t="e">
        <f t="shared" si="144"/>
        <v>#DIV/0!</v>
      </c>
      <c r="AP339" s="393" t="e">
        <f t="shared" si="145"/>
        <v>#DIV/0!</v>
      </c>
      <c r="AQ339" s="393" t="e">
        <f t="shared" si="146"/>
        <v>#DIV/0!</v>
      </c>
      <c r="AR339" s="393" t="e">
        <f t="shared" si="147"/>
        <v>#DIV/0!</v>
      </c>
      <c r="AS339" s="393" t="e">
        <f t="shared" si="148"/>
        <v>#DIV/0!</v>
      </c>
      <c r="AT339" s="393" t="e">
        <f t="shared" si="149"/>
        <v>#DIV/0!</v>
      </c>
      <c r="AU339" s="393" t="e">
        <f t="shared" si="150"/>
        <v>#DIV/0!</v>
      </c>
      <c r="AV339" s="393" t="e">
        <f t="shared" si="151"/>
        <v>#DIV/0!</v>
      </c>
      <c r="AW339" s="393" t="e">
        <f t="shared" si="152"/>
        <v>#DIV/0!</v>
      </c>
      <c r="AX339" s="393" t="e">
        <f t="shared" si="153"/>
        <v>#DIV/0!</v>
      </c>
      <c r="AY339" s="393" t="e">
        <f t="shared" si="154"/>
        <v>#DIV/0!</v>
      </c>
      <c r="AZ339" s="393" t="e">
        <f t="shared" si="155"/>
        <v>#DIV/0!</v>
      </c>
      <c r="BA339" s="393" t="e">
        <f t="shared" si="156"/>
        <v>#DIV/0!</v>
      </c>
      <c r="BB339" s="393" t="e">
        <f t="shared" si="157"/>
        <v>#DIV/0!</v>
      </c>
    </row>
    <row r="340" spans="1:54" x14ac:dyDescent="0.25">
      <c r="A340" s="361" t="s">
        <v>1599</v>
      </c>
      <c r="B340" s="480"/>
      <c r="C340" s="480"/>
      <c r="D340" s="480"/>
      <c r="E340" s="480"/>
      <c r="F340" s="480"/>
      <c r="G340" s="480"/>
      <c r="H340" s="480"/>
      <c r="I340" s="480"/>
      <c r="J340" s="480"/>
      <c r="K340" s="480"/>
      <c r="L340" s="480"/>
      <c r="M340" s="480"/>
      <c r="N340" s="480"/>
      <c r="O340" s="480"/>
      <c r="P340" s="480"/>
      <c r="Q340" s="480"/>
      <c r="R340" s="480">
        <f>946/1800</f>
        <v>0.52559999999999996</v>
      </c>
      <c r="S340" s="480"/>
      <c r="T340" s="480"/>
      <c r="U340" s="480"/>
      <c r="V340" s="480"/>
      <c r="W340" s="480"/>
      <c r="X340" s="480"/>
      <c r="Y340" s="480"/>
      <c r="Z340" s="480"/>
      <c r="AA340" s="480"/>
      <c r="AB340" s="480"/>
      <c r="AC340" s="393" t="e">
        <f t="shared" si="132"/>
        <v>#DIV/0!</v>
      </c>
      <c r="AD340" s="393" t="e">
        <f t="shared" si="133"/>
        <v>#DIV/0!</v>
      </c>
      <c r="AE340" s="393" t="e">
        <f t="shared" si="134"/>
        <v>#DIV/0!</v>
      </c>
      <c r="AF340" s="393" t="e">
        <f t="shared" si="135"/>
        <v>#DIV/0!</v>
      </c>
      <c r="AG340" s="393" t="e">
        <f t="shared" si="136"/>
        <v>#DIV/0!</v>
      </c>
      <c r="AH340" s="393" t="e">
        <f t="shared" si="137"/>
        <v>#DIV/0!</v>
      </c>
      <c r="AI340" s="393" t="e">
        <f t="shared" si="138"/>
        <v>#DIV/0!</v>
      </c>
      <c r="AJ340" s="393" t="e">
        <f t="shared" si="139"/>
        <v>#DIV/0!</v>
      </c>
      <c r="AK340" s="393" t="e">
        <f t="shared" si="140"/>
        <v>#DIV/0!</v>
      </c>
      <c r="AL340" s="393" t="e">
        <f t="shared" si="141"/>
        <v>#DIV/0!</v>
      </c>
      <c r="AM340" s="393" t="e">
        <f t="shared" si="142"/>
        <v>#DIV/0!</v>
      </c>
      <c r="AN340" s="393" t="e">
        <f t="shared" si="143"/>
        <v>#DIV/0!</v>
      </c>
      <c r="AO340" s="393" t="e">
        <f t="shared" si="144"/>
        <v>#DIV/0!</v>
      </c>
      <c r="AP340" s="393" t="e">
        <f t="shared" si="145"/>
        <v>#DIV/0!</v>
      </c>
      <c r="AQ340" s="393" t="e">
        <f t="shared" si="146"/>
        <v>#DIV/0!</v>
      </c>
      <c r="AR340" s="393" t="e">
        <f t="shared" si="147"/>
        <v>#DIV/0!</v>
      </c>
      <c r="AS340" s="393">
        <f t="shared" si="148"/>
        <v>-100</v>
      </c>
      <c r="AT340" s="393" t="e">
        <f t="shared" si="149"/>
        <v>#DIV/0!</v>
      </c>
      <c r="AU340" s="393" t="e">
        <f t="shared" si="150"/>
        <v>#DIV/0!</v>
      </c>
      <c r="AV340" s="393" t="e">
        <f t="shared" si="151"/>
        <v>#DIV/0!</v>
      </c>
      <c r="AW340" s="393" t="e">
        <f t="shared" si="152"/>
        <v>#DIV/0!</v>
      </c>
      <c r="AX340" s="393" t="e">
        <f t="shared" si="153"/>
        <v>#DIV/0!</v>
      </c>
      <c r="AY340" s="393" t="e">
        <f t="shared" si="154"/>
        <v>#DIV/0!</v>
      </c>
      <c r="AZ340" s="393" t="e">
        <f t="shared" si="155"/>
        <v>#DIV/0!</v>
      </c>
      <c r="BA340" s="393" t="e">
        <f t="shared" si="156"/>
        <v>#DIV/0!</v>
      </c>
      <c r="BB340" s="393" t="e">
        <f t="shared" si="157"/>
        <v>#DIV/0!</v>
      </c>
    </row>
    <row r="341" spans="1:54" x14ac:dyDescent="0.25">
      <c r="A341" s="361" t="s">
        <v>1878</v>
      </c>
      <c r="B341" s="480"/>
      <c r="C341" s="480"/>
      <c r="D341" s="480"/>
      <c r="E341" s="480"/>
      <c r="F341" s="480"/>
      <c r="G341" s="480"/>
      <c r="H341" s="480"/>
      <c r="I341" s="480"/>
      <c r="J341" s="480"/>
      <c r="K341" s="480"/>
      <c r="L341" s="480"/>
      <c r="M341" s="480"/>
      <c r="N341" s="480"/>
      <c r="O341" s="480">
        <f>612/1200</f>
        <v>0.51</v>
      </c>
      <c r="P341" s="480"/>
      <c r="Q341" s="480">
        <f>968/1800</f>
        <v>0.53779999999999994</v>
      </c>
      <c r="R341" s="480">
        <f>1017/1800</f>
        <v>0.56499999999999995</v>
      </c>
      <c r="S341" s="480"/>
      <c r="T341" s="480"/>
      <c r="U341" s="480"/>
      <c r="V341" s="480"/>
      <c r="W341" s="480"/>
      <c r="X341" s="480"/>
      <c r="Y341" s="480"/>
      <c r="Z341" s="480"/>
      <c r="AA341" s="480"/>
      <c r="AB341" s="480"/>
      <c r="AC341" s="393" t="e">
        <f t="shared" si="132"/>
        <v>#DIV/0!</v>
      </c>
      <c r="AD341" s="393" t="e">
        <f t="shared" si="133"/>
        <v>#DIV/0!</v>
      </c>
      <c r="AE341" s="393" t="e">
        <f t="shared" si="134"/>
        <v>#DIV/0!</v>
      </c>
      <c r="AF341" s="393" t="e">
        <f t="shared" si="135"/>
        <v>#DIV/0!</v>
      </c>
      <c r="AG341" s="393" t="e">
        <f t="shared" si="136"/>
        <v>#DIV/0!</v>
      </c>
      <c r="AH341" s="393" t="e">
        <f t="shared" si="137"/>
        <v>#DIV/0!</v>
      </c>
      <c r="AI341" s="393" t="e">
        <f t="shared" si="138"/>
        <v>#DIV/0!</v>
      </c>
      <c r="AJ341" s="393" t="e">
        <f t="shared" si="139"/>
        <v>#DIV/0!</v>
      </c>
      <c r="AK341" s="393" t="e">
        <f t="shared" si="140"/>
        <v>#DIV/0!</v>
      </c>
      <c r="AL341" s="393" t="e">
        <f t="shared" si="141"/>
        <v>#DIV/0!</v>
      </c>
      <c r="AM341" s="393" t="e">
        <f t="shared" si="142"/>
        <v>#DIV/0!</v>
      </c>
      <c r="AN341" s="393" t="e">
        <f t="shared" si="143"/>
        <v>#DIV/0!</v>
      </c>
      <c r="AO341" s="393" t="e">
        <f t="shared" si="144"/>
        <v>#DIV/0!</v>
      </c>
      <c r="AP341" s="393">
        <f t="shared" si="145"/>
        <v>-100</v>
      </c>
      <c r="AQ341" s="393" t="e">
        <f t="shared" si="146"/>
        <v>#DIV/0!</v>
      </c>
      <c r="AR341" s="393">
        <f t="shared" si="147"/>
        <v>5.0579999999999998</v>
      </c>
      <c r="AS341" s="393">
        <f t="shared" si="148"/>
        <v>-100</v>
      </c>
      <c r="AT341" s="393" t="e">
        <f t="shared" si="149"/>
        <v>#DIV/0!</v>
      </c>
      <c r="AU341" s="393" t="e">
        <f t="shared" si="150"/>
        <v>#DIV/0!</v>
      </c>
      <c r="AV341" s="393" t="e">
        <f t="shared" si="151"/>
        <v>#DIV/0!</v>
      </c>
      <c r="AW341" s="393" t="e">
        <f t="shared" si="152"/>
        <v>#DIV/0!</v>
      </c>
      <c r="AX341" s="393" t="e">
        <f t="shared" si="153"/>
        <v>#DIV/0!</v>
      </c>
      <c r="AY341" s="393" t="e">
        <f t="shared" si="154"/>
        <v>#DIV/0!</v>
      </c>
      <c r="AZ341" s="393" t="e">
        <f t="shared" si="155"/>
        <v>#DIV/0!</v>
      </c>
      <c r="BA341" s="393" t="e">
        <f t="shared" si="156"/>
        <v>#DIV/0!</v>
      </c>
      <c r="BB341" s="393" t="e">
        <f t="shared" si="157"/>
        <v>#DIV/0!</v>
      </c>
    </row>
    <row r="342" spans="1:54" x14ac:dyDescent="0.25">
      <c r="A342" s="355" t="s">
        <v>2356</v>
      </c>
      <c r="B342" s="480"/>
      <c r="C342" s="480"/>
      <c r="D342" s="480">
        <f>857/1800</f>
        <v>0.47610000000000002</v>
      </c>
      <c r="E342" s="480"/>
      <c r="F342" s="480"/>
      <c r="G342" s="480">
        <f>1062/2400</f>
        <v>0.4425</v>
      </c>
      <c r="H342" s="480">
        <f>610/1200</f>
        <v>0.50829999999999997</v>
      </c>
      <c r="I342" s="480">
        <f>619/1200</f>
        <v>0.51580000000000004</v>
      </c>
      <c r="J342" s="480">
        <f>680/1200</f>
        <v>0.56669999999999998</v>
      </c>
      <c r="K342" s="480">
        <f>666/1200</f>
        <v>0.55500000000000005</v>
      </c>
      <c r="L342" s="480"/>
      <c r="M342" s="480">
        <f>663/1200</f>
        <v>0.55249999999999999</v>
      </c>
      <c r="N342" s="480"/>
      <c r="O342" s="480">
        <f>641/1200</f>
        <v>0.53420000000000001</v>
      </c>
      <c r="P342" s="480">
        <f>943/1800</f>
        <v>0.52390000000000003</v>
      </c>
      <c r="Q342" s="480"/>
      <c r="R342" s="480"/>
      <c r="S342" s="480"/>
      <c r="T342" s="480"/>
      <c r="U342" s="480"/>
      <c r="V342" s="481"/>
      <c r="W342" s="481"/>
      <c r="X342" s="481"/>
      <c r="Y342" s="481"/>
      <c r="Z342" s="481"/>
      <c r="AA342" s="481"/>
      <c r="AB342" s="481"/>
      <c r="AC342" s="393" t="e">
        <f t="shared" si="132"/>
        <v>#DIV/0!</v>
      </c>
      <c r="AD342" s="393" t="e">
        <f t="shared" si="133"/>
        <v>#DIV/0!</v>
      </c>
      <c r="AE342" s="393">
        <f t="shared" si="134"/>
        <v>-100</v>
      </c>
      <c r="AF342" s="393" t="e">
        <f t="shared" si="135"/>
        <v>#DIV/0!</v>
      </c>
      <c r="AG342" s="393" t="e">
        <f t="shared" si="136"/>
        <v>#DIV/0!</v>
      </c>
      <c r="AH342" s="393">
        <f t="shared" si="137"/>
        <v>14.87</v>
      </c>
      <c r="AI342" s="393">
        <f t="shared" si="138"/>
        <v>1.476</v>
      </c>
      <c r="AJ342" s="393">
        <f t="shared" si="139"/>
        <v>9.8680000000000003</v>
      </c>
      <c r="AK342" s="393">
        <f t="shared" si="140"/>
        <v>-2.0649999999999999</v>
      </c>
      <c r="AL342" s="393">
        <f t="shared" si="141"/>
        <v>-100</v>
      </c>
      <c r="AM342" s="393" t="e">
        <f t="shared" si="142"/>
        <v>#DIV/0!</v>
      </c>
      <c r="AN342" s="393">
        <f t="shared" si="143"/>
        <v>-100</v>
      </c>
      <c r="AO342" s="393" t="e">
        <f t="shared" si="144"/>
        <v>#DIV/0!</v>
      </c>
      <c r="AP342" s="393">
        <f t="shared" si="145"/>
        <v>-1.9279999999999999</v>
      </c>
      <c r="AQ342" s="393">
        <f t="shared" si="146"/>
        <v>-100</v>
      </c>
      <c r="AR342" s="393" t="e">
        <f t="shared" si="147"/>
        <v>#DIV/0!</v>
      </c>
      <c r="AS342" s="393" t="e">
        <f t="shared" si="148"/>
        <v>#DIV/0!</v>
      </c>
      <c r="AT342" s="393" t="e">
        <f t="shared" si="149"/>
        <v>#DIV/0!</v>
      </c>
      <c r="AU342" s="393" t="e">
        <f t="shared" si="150"/>
        <v>#DIV/0!</v>
      </c>
      <c r="AV342" s="393" t="e">
        <f t="shared" si="151"/>
        <v>#DIV/0!</v>
      </c>
      <c r="AW342" s="393" t="e">
        <f t="shared" si="152"/>
        <v>#DIV/0!</v>
      </c>
      <c r="AX342" s="393" t="e">
        <f t="shared" si="153"/>
        <v>#DIV/0!</v>
      </c>
      <c r="AY342" s="393" t="e">
        <f t="shared" si="154"/>
        <v>#DIV/0!</v>
      </c>
      <c r="AZ342" s="393" t="e">
        <f t="shared" si="155"/>
        <v>#DIV/0!</v>
      </c>
      <c r="BA342" s="393" t="e">
        <f t="shared" si="156"/>
        <v>#DIV/0!</v>
      </c>
      <c r="BB342" s="393" t="e">
        <f t="shared" si="157"/>
        <v>#DIV/0!</v>
      </c>
    </row>
    <row r="343" spans="1:54" x14ac:dyDescent="0.25">
      <c r="A343" s="361" t="s">
        <v>3873</v>
      </c>
      <c r="B343" s="480"/>
      <c r="C343" s="480"/>
      <c r="D343" s="480"/>
      <c r="E343" s="480"/>
      <c r="F343" s="480"/>
      <c r="G343" s="480"/>
      <c r="H343" s="480"/>
      <c r="I343" s="480"/>
      <c r="J343" s="480"/>
      <c r="K343" s="480"/>
      <c r="L343" s="480"/>
      <c r="M343" s="480"/>
      <c r="N343" s="480"/>
      <c r="O343" s="480"/>
      <c r="P343" s="480"/>
      <c r="Q343" s="480">
        <f>936/1800</f>
        <v>0.52</v>
      </c>
      <c r="R343" s="480"/>
      <c r="S343" s="480"/>
      <c r="T343" s="480"/>
      <c r="U343" s="480"/>
      <c r="V343" s="480"/>
      <c r="W343" s="480"/>
      <c r="X343" s="480"/>
      <c r="Y343" s="480"/>
      <c r="Z343" s="480"/>
      <c r="AA343" s="480"/>
      <c r="AB343" s="480"/>
      <c r="AC343" s="393" t="e">
        <f t="shared" si="132"/>
        <v>#DIV/0!</v>
      </c>
      <c r="AD343" s="393" t="e">
        <f t="shared" si="133"/>
        <v>#DIV/0!</v>
      </c>
      <c r="AE343" s="393" t="e">
        <f t="shared" si="134"/>
        <v>#DIV/0!</v>
      </c>
      <c r="AF343" s="393" t="e">
        <f t="shared" si="135"/>
        <v>#DIV/0!</v>
      </c>
      <c r="AG343" s="393" t="e">
        <f t="shared" si="136"/>
        <v>#DIV/0!</v>
      </c>
      <c r="AH343" s="393" t="e">
        <f t="shared" si="137"/>
        <v>#DIV/0!</v>
      </c>
      <c r="AI343" s="393" t="e">
        <f t="shared" si="138"/>
        <v>#DIV/0!</v>
      </c>
      <c r="AJ343" s="393" t="e">
        <f t="shared" si="139"/>
        <v>#DIV/0!</v>
      </c>
      <c r="AK343" s="393" t="e">
        <f t="shared" si="140"/>
        <v>#DIV/0!</v>
      </c>
      <c r="AL343" s="393" t="e">
        <f t="shared" si="141"/>
        <v>#DIV/0!</v>
      </c>
      <c r="AM343" s="393" t="e">
        <f t="shared" si="142"/>
        <v>#DIV/0!</v>
      </c>
      <c r="AN343" s="393" t="e">
        <f t="shared" si="143"/>
        <v>#DIV/0!</v>
      </c>
      <c r="AO343" s="393" t="e">
        <f t="shared" si="144"/>
        <v>#DIV/0!</v>
      </c>
      <c r="AP343" s="393" t="e">
        <f t="shared" si="145"/>
        <v>#DIV/0!</v>
      </c>
      <c r="AQ343" s="393" t="e">
        <f t="shared" si="146"/>
        <v>#DIV/0!</v>
      </c>
      <c r="AR343" s="393">
        <f t="shared" si="147"/>
        <v>-100</v>
      </c>
      <c r="AS343" s="393" t="e">
        <f t="shared" si="148"/>
        <v>#DIV/0!</v>
      </c>
      <c r="AT343" s="393" t="e">
        <f t="shared" si="149"/>
        <v>#DIV/0!</v>
      </c>
      <c r="AU343" s="393" t="e">
        <f t="shared" si="150"/>
        <v>#DIV/0!</v>
      </c>
      <c r="AV343" s="393" t="e">
        <f t="shared" si="151"/>
        <v>#DIV/0!</v>
      </c>
      <c r="AW343" s="393" t="e">
        <f t="shared" si="152"/>
        <v>#DIV/0!</v>
      </c>
      <c r="AX343" s="393" t="e">
        <f t="shared" si="153"/>
        <v>#DIV/0!</v>
      </c>
      <c r="AY343" s="393" t="e">
        <f t="shared" si="154"/>
        <v>#DIV/0!</v>
      </c>
      <c r="AZ343" s="393" t="e">
        <f t="shared" si="155"/>
        <v>#DIV/0!</v>
      </c>
      <c r="BA343" s="393" t="e">
        <f t="shared" si="156"/>
        <v>#DIV/0!</v>
      </c>
      <c r="BB343" s="393" t="e">
        <f t="shared" si="157"/>
        <v>#DIV/0!</v>
      </c>
    </row>
    <row r="344" spans="1:54" x14ac:dyDescent="0.25">
      <c r="A344" s="360" t="s">
        <v>1323</v>
      </c>
      <c r="B344" s="480"/>
      <c r="C344" s="480"/>
      <c r="D344" s="480"/>
      <c r="E344" s="480">
        <f>961/1800</f>
        <v>0.53390000000000004</v>
      </c>
      <c r="F344" s="480"/>
      <c r="G344" s="480"/>
      <c r="H344" s="480"/>
      <c r="I344" s="480"/>
      <c r="J344" s="480"/>
      <c r="K344" s="480"/>
      <c r="L344" s="480"/>
      <c r="M344" s="480"/>
      <c r="N344" s="480"/>
      <c r="O344" s="480"/>
      <c r="P344" s="480"/>
      <c r="Q344" s="480"/>
      <c r="R344" s="480"/>
      <c r="S344" s="480"/>
      <c r="T344" s="480"/>
      <c r="U344" s="480"/>
      <c r="V344" s="480"/>
      <c r="W344" s="480"/>
      <c r="X344" s="480"/>
      <c r="Y344" s="480"/>
      <c r="Z344" s="480"/>
      <c r="AA344" s="480"/>
      <c r="AB344" s="480"/>
      <c r="AC344" s="393" t="e">
        <f t="shared" si="132"/>
        <v>#DIV/0!</v>
      </c>
      <c r="AD344" s="393" t="e">
        <f t="shared" si="133"/>
        <v>#DIV/0!</v>
      </c>
      <c r="AE344" s="393" t="e">
        <f t="shared" si="134"/>
        <v>#DIV/0!</v>
      </c>
      <c r="AF344" s="393">
        <f t="shared" si="135"/>
        <v>-100</v>
      </c>
      <c r="AG344" s="393" t="e">
        <f t="shared" si="136"/>
        <v>#DIV/0!</v>
      </c>
      <c r="AH344" s="393" t="e">
        <f t="shared" si="137"/>
        <v>#DIV/0!</v>
      </c>
      <c r="AI344" s="393" t="e">
        <f t="shared" si="138"/>
        <v>#DIV/0!</v>
      </c>
      <c r="AJ344" s="393" t="e">
        <f t="shared" si="139"/>
        <v>#DIV/0!</v>
      </c>
      <c r="AK344" s="393" t="e">
        <f t="shared" si="140"/>
        <v>#DIV/0!</v>
      </c>
      <c r="AL344" s="393" t="e">
        <f t="shared" si="141"/>
        <v>#DIV/0!</v>
      </c>
      <c r="AM344" s="393" t="e">
        <f t="shared" si="142"/>
        <v>#DIV/0!</v>
      </c>
      <c r="AN344" s="393" t="e">
        <f t="shared" si="143"/>
        <v>#DIV/0!</v>
      </c>
      <c r="AO344" s="393" t="e">
        <f t="shared" si="144"/>
        <v>#DIV/0!</v>
      </c>
      <c r="AP344" s="393" t="e">
        <f t="shared" si="145"/>
        <v>#DIV/0!</v>
      </c>
      <c r="AQ344" s="393" t="e">
        <f t="shared" si="146"/>
        <v>#DIV/0!</v>
      </c>
      <c r="AR344" s="393" t="e">
        <f t="shared" si="147"/>
        <v>#DIV/0!</v>
      </c>
      <c r="AS344" s="393" t="e">
        <f t="shared" si="148"/>
        <v>#DIV/0!</v>
      </c>
      <c r="AT344" s="393" t="e">
        <f t="shared" si="149"/>
        <v>#DIV/0!</v>
      </c>
      <c r="AU344" s="393" t="e">
        <f t="shared" si="150"/>
        <v>#DIV/0!</v>
      </c>
      <c r="AV344" s="393" t="e">
        <f t="shared" si="151"/>
        <v>#DIV/0!</v>
      </c>
      <c r="AW344" s="393" t="e">
        <f t="shared" si="152"/>
        <v>#DIV/0!</v>
      </c>
      <c r="AX344" s="393" t="e">
        <f t="shared" si="153"/>
        <v>#DIV/0!</v>
      </c>
      <c r="AY344" s="393" t="e">
        <f t="shared" si="154"/>
        <v>#DIV/0!</v>
      </c>
      <c r="AZ344" s="393" t="e">
        <f t="shared" si="155"/>
        <v>#DIV/0!</v>
      </c>
      <c r="BA344" s="393" t="e">
        <f t="shared" si="156"/>
        <v>#DIV/0!</v>
      </c>
      <c r="BB344" s="393" t="e">
        <f t="shared" si="157"/>
        <v>#DIV/0!</v>
      </c>
    </row>
    <row r="345" spans="1:54" x14ac:dyDescent="0.25">
      <c r="A345" s="355" t="s">
        <v>4088</v>
      </c>
      <c r="B345" s="480"/>
      <c r="C345" s="480"/>
      <c r="D345" s="480"/>
      <c r="E345" s="480"/>
      <c r="F345" s="480"/>
      <c r="G345" s="480"/>
      <c r="H345" s="480"/>
      <c r="I345" s="480">
        <f>812/1200</f>
        <v>0.67669999999999997</v>
      </c>
      <c r="J345" s="480">
        <f>846/1200</f>
        <v>0.70499999999999996</v>
      </c>
      <c r="K345" s="480">
        <f>840/1200</f>
        <v>0.7</v>
      </c>
      <c r="L345" s="480"/>
      <c r="M345" s="480"/>
      <c r="N345" s="480"/>
      <c r="O345" s="480"/>
      <c r="P345" s="480"/>
      <c r="Q345" s="480"/>
      <c r="R345" s="480"/>
      <c r="S345" s="480"/>
      <c r="T345" s="480"/>
      <c r="U345" s="480"/>
      <c r="V345" s="480"/>
      <c r="W345" s="480"/>
      <c r="X345" s="480"/>
      <c r="Y345" s="480"/>
      <c r="Z345" s="480"/>
      <c r="AA345" s="480"/>
      <c r="AB345" s="480"/>
      <c r="AC345" s="393" t="e">
        <f t="shared" si="132"/>
        <v>#DIV/0!</v>
      </c>
      <c r="AD345" s="393" t="e">
        <f t="shared" si="133"/>
        <v>#DIV/0!</v>
      </c>
      <c r="AE345" s="393" t="e">
        <f t="shared" si="134"/>
        <v>#DIV/0!</v>
      </c>
      <c r="AF345" s="393" t="e">
        <f t="shared" si="135"/>
        <v>#DIV/0!</v>
      </c>
      <c r="AG345" s="393" t="e">
        <f t="shared" si="136"/>
        <v>#DIV/0!</v>
      </c>
      <c r="AH345" s="393" t="e">
        <f t="shared" si="137"/>
        <v>#DIV/0!</v>
      </c>
      <c r="AI345" s="393" t="e">
        <f t="shared" si="138"/>
        <v>#DIV/0!</v>
      </c>
      <c r="AJ345" s="393">
        <f t="shared" si="139"/>
        <v>4.1820000000000004</v>
      </c>
      <c r="AK345" s="393">
        <f t="shared" si="140"/>
        <v>-0.70899999999999996</v>
      </c>
      <c r="AL345" s="393">
        <f t="shared" si="141"/>
        <v>-100</v>
      </c>
      <c r="AM345" s="393" t="e">
        <f t="shared" si="142"/>
        <v>#DIV/0!</v>
      </c>
      <c r="AN345" s="393" t="e">
        <f t="shared" si="143"/>
        <v>#DIV/0!</v>
      </c>
      <c r="AO345" s="393" t="e">
        <f t="shared" si="144"/>
        <v>#DIV/0!</v>
      </c>
      <c r="AP345" s="393" t="e">
        <f t="shared" si="145"/>
        <v>#DIV/0!</v>
      </c>
      <c r="AQ345" s="393" t="e">
        <f t="shared" si="146"/>
        <v>#DIV/0!</v>
      </c>
      <c r="AR345" s="393" t="e">
        <f t="shared" si="147"/>
        <v>#DIV/0!</v>
      </c>
      <c r="AS345" s="393" t="e">
        <f t="shared" si="148"/>
        <v>#DIV/0!</v>
      </c>
      <c r="AT345" s="393" t="e">
        <f t="shared" si="149"/>
        <v>#DIV/0!</v>
      </c>
      <c r="AU345" s="393" t="e">
        <f t="shared" si="150"/>
        <v>#DIV/0!</v>
      </c>
      <c r="AV345" s="393" t="e">
        <f t="shared" si="151"/>
        <v>#DIV/0!</v>
      </c>
      <c r="AW345" s="393" t="e">
        <f t="shared" si="152"/>
        <v>#DIV/0!</v>
      </c>
      <c r="AX345" s="393" t="e">
        <f t="shared" si="153"/>
        <v>#DIV/0!</v>
      </c>
      <c r="AY345" s="393" t="e">
        <f t="shared" si="154"/>
        <v>#DIV/0!</v>
      </c>
      <c r="AZ345" s="393" t="e">
        <f t="shared" si="155"/>
        <v>#DIV/0!</v>
      </c>
      <c r="BA345" s="393" t="e">
        <f t="shared" si="156"/>
        <v>#DIV/0!</v>
      </c>
      <c r="BB345" s="393" t="e">
        <f t="shared" si="157"/>
        <v>#DIV/0!</v>
      </c>
    </row>
    <row r="346" spans="1:54" x14ac:dyDescent="0.25">
      <c r="A346" s="360" t="s">
        <v>773</v>
      </c>
      <c r="B346" s="480"/>
      <c r="C346" s="480"/>
      <c r="D346" s="480">
        <f>977/1800</f>
        <v>0.54279999999999995</v>
      </c>
      <c r="E346" s="480">
        <f>889/1800</f>
        <v>0.49390000000000001</v>
      </c>
      <c r="F346" s="480"/>
      <c r="G346" s="480"/>
      <c r="H346" s="480"/>
      <c r="I346" s="480"/>
      <c r="J346" s="480"/>
      <c r="K346" s="480"/>
      <c r="L346" s="480"/>
      <c r="M346" s="480"/>
      <c r="N346" s="480"/>
      <c r="O346" s="480"/>
      <c r="P346" s="480"/>
      <c r="Q346" s="480"/>
      <c r="R346" s="480"/>
      <c r="S346" s="480"/>
      <c r="T346" s="480"/>
      <c r="U346" s="480"/>
      <c r="V346" s="480"/>
      <c r="W346" s="480"/>
      <c r="X346" s="480"/>
      <c r="Y346" s="480"/>
      <c r="Z346" s="480"/>
      <c r="AA346" s="480"/>
      <c r="AB346" s="480"/>
      <c r="AC346" s="393" t="e">
        <f t="shared" si="132"/>
        <v>#DIV/0!</v>
      </c>
      <c r="AD346" s="393" t="e">
        <f t="shared" si="133"/>
        <v>#DIV/0!</v>
      </c>
      <c r="AE346" s="393">
        <f t="shared" si="134"/>
        <v>-9.0090000000000003</v>
      </c>
      <c r="AF346" s="393">
        <f t="shared" si="135"/>
        <v>-100</v>
      </c>
      <c r="AG346" s="393" t="e">
        <f t="shared" si="136"/>
        <v>#DIV/0!</v>
      </c>
      <c r="AH346" s="393" t="e">
        <f t="shared" si="137"/>
        <v>#DIV/0!</v>
      </c>
      <c r="AI346" s="393" t="e">
        <f t="shared" si="138"/>
        <v>#DIV/0!</v>
      </c>
      <c r="AJ346" s="393" t="e">
        <f t="shared" si="139"/>
        <v>#DIV/0!</v>
      </c>
      <c r="AK346" s="393" t="e">
        <f t="shared" si="140"/>
        <v>#DIV/0!</v>
      </c>
      <c r="AL346" s="393" t="e">
        <f t="shared" si="141"/>
        <v>#DIV/0!</v>
      </c>
      <c r="AM346" s="393" t="e">
        <f t="shared" si="142"/>
        <v>#DIV/0!</v>
      </c>
      <c r="AN346" s="393" t="e">
        <f t="shared" si="143"/>
        <v>#DIV/0!</v>
      </c>
      <c r="AO346" s="393" t="e">
        <f t="shared" si="144"/>
        <v>#DIV/0!</v>
      </c>
      <c r="AP346" s="393" t="e">
        <f t="shared" si="145"/>
        <v>#DIV/0!</v>
      </c>
      <c r="AQ346" s="393" t="e">
        <f t="shared" si="146"/>
        <v>#DIV/0!</v>
      </c>
      <c r="AR346" s="393" t="e">
        <f t="shared" si="147"/>
        <v>#DIV/0!</v>
      </c>
      <c r="AS346" s="393" t="e">
        <f t="shared" si="148"/>
        <v>#DIV/0!</v>
      </c>
      <c r="AT346" s="393" t="e">
        <f t="shared" si="149"/>
        <v>#DIV/0!</v>
      </c>
      <c r="AU346" s="393" t="e">
        <f t="shared" si="150"/>
        <v>#DIV/0!</v>
      </c>
      <c r="AV346" s="393" t="e">
        <f t="shared" si="151"/>
        <v>#DIV/0!</v>
      </c>
      <c r="AW346" s="393" t="e">
        <f t="shared" si="152"/>
        <v>#DIV/0!</v>
      </c>
      <c r="AX346" s="393" t="e">
        <f t="shared" si="153"/>
        <v>#DIV/0!</v>
      </c>
      <c r="AY346" s="393" t="e">
        <f t="shared" si="154"/>
        <v>#DIV/0!</v>
      </c>
      <c r="AZ346" s="393" t="e">
        <f t="shared" si="155"/>
        <v>#DIV/0!</v>
      </c>
      <c r="BA346" s="393" t="e">
        <f t="shared" si="156"/>
        <v>#DIV/0!</v>
      </c>
      <c r="BB346" s="393" t="e">
        <f t="shared" si="157"/>
        <v>#DIV/0!</v>
      </c>
    </row>
    <row r="347" spans="1:54" x14ac:dyDescent="0.25">
      <c r="A347" s="361" t="s">
        <v>4000</v>
      </c>
      <c r="B347" s="480"/>
      <c r="C347" s="480"/>
      <c r="D347" s="480"/>
      <c r="E347" s="480"/>
      <c r="F347" s="480"/>
      <c r="G347" s="480"/>
      <c r="H347" s="480"/>
      <c r="I347" s="480"/>
      <c r="J347" s="480"/>
      <c r="K347" s="480"/>
      <c r="L347" s="480"/>
      <c r="M347" s="480"/>
      <c r="N347" s="480"/>
      <c r="O347" s="480"/>
      <c r="P347" s="480"/>
      <c r="Q347" s="480"/>
      <c r="R347" s="480"/>
      <c r="S347" s="480"/>
      <c r="T347" s="480">
        <f>744/1200</f>
        <v>0.62</v>
      </c>
      <c r="U347" s="480"/>
      <c r="V347" s="480"/>
      <c r="W347" s="480"/>
      <c r="X347" s="480"/>
      <c r="Y347" s="480"/>
      <c r="Z347" s="480"/>
      <c r="AA347" s="480"/>
      <c r="AB347" s="480"/>
      <c r="AC347" s="393" t="e">
        <f t="shared" si="132"/>
        <v>#DIV/0!</v>
      </c>
      <c r="AD347" s="393" t="e">
        <f t="shared" si="133"/>
        <v>#DIV/0!</v>
      </c>
      <c r="AE347" s="393" t="e">
        <f t="shared" si="134"/>
        <v>#DIV/0!</v>
      </c>
      <c r="AF347" s="393" t="e">
        <f t="shared" si="135"/>
        <v>#DIV/0!</v>
      </c>
      <c r="AG347" s="393" t="e">
        <f t="shared" si="136"/>
        <v>#DIV/0!</v>
      </c>
      <c r="AH347" s="393" t="e">
        <f t="shared" si="137"/>
        <v>#DIV/0!</v>
      </c>
      <c r="AI347" s="393" t="e">
        <f t="shared" si="138"/>
        <v>#DIV/0!</v>
      </c>
      <c r="AJ347" s="393" t="e">
        <f t="shared" si="139"/>
        <v>#DIV/0!</v>
      </c>
      <c r="AK347" s="393" t="e">
        <f t="shared" si="140"/>
        <v>#DIV/0!</v>
      </c>
      <c r="AL347" s="393" t="e">
        <f t="shared" si="141"/>
        <v>#DIV/0!</v>
      </c>
      <c r="AM347" s="393" t="e">
        <f t="shared" si="142"/>
        <v>#DIV/0!</v>
      </c>
      <c r="AN347" s="393" t="e">
        <f t="shared" si="143"/>
        <v>#DIV/0!</v>
      </c>
      <c r="AO347" s="393" t="e">
        <f t="shared" si="144"/>
        <v>#DIV/0!</v>
      </c>
      <c r="AP347" s="393" t="e">
        <f t="shared" si="145"/>
        <v>#DIV/0!</v>
      </c>
      <c r="AQ347" s="393" t="e">
        <f t="shared" si="146"/>
        <v>#DIV/0!</v>
      </c>
      <c r="AR347" s="393" t="e">
        <f t="shared" si="147"/>
        <v>#DIV/0!</v>
      </c>
      <c r="AS347" s="393" t="e">
        <f t="shared" si="148"/>
        <v>#DIV/0!</v>
      </c>
      <c r="AT347" s="393" t="e">
        <f t="shared" si="149"/>
        <v>#DIV/0!</v>
      </c>
      <c r="AU347" s="393">
        <f t="shared" si="150"/>
        <v>-100</v>
      </c>
      <c r="AV347" s="393" t="e">
        <f t="shared" si="151"/>
        <v>#DIV/0!</v>
      </c>
      <c r="AW347" s="393" t="e">
        <f t="shared" si="152"/>
        <v>#DIV/0!</v>
      </c>
      <c r="AX347" s="393" t="e">
        <f t="shared" si="153"/>
        <v>#DIV/0!</v>
      </c>
      <c r="AY347" s="393" t="e">
        <f t="shared" si="154"/>
        <v>#DIV/0!</v>
      </c>
      <c r="AZ347" s="393" t="e">
        <f t="shared" si="155"/>
        <v>#DIV/0!</v>
      </c>
      <c r="BA347" s="393" t="e">
        <f t="shared" si="156"/>
        <v>#DIV/0!</v>
      </c>
      <c r="BB347" s="393" t="e">
        <f t="shared" si="157"/>
        <v>#DIV/0!</v>
      </c>
    </row>
    <row r="348" spans="1:54" x14ac:dyDescent="0.25">
      <c r="A348" s="361" t="s">
        <v>3510</v>
      </c>
      <c r="B348" s="480"/>
      <c r="C348" s="480"/>
      <c r="D348" s="480"/>
      <c r="E348" s="480"/>
      <c r="F348" s="480"/>
      <c r="G348" s="480"/>
      <c r="H348" s="480"/>
      <c r="I348" s="480"/>
      <c r="J348" s="480"/>
      <c r="K348" s="480"/>
      <c r="L348" s="480"/>
      <c r="M348" s="480"/>
      <c r="N348" s="480"/>
      <c r="O348" s="480"/>
      <c r="P348" s="480"/>
      <c r="Q348" s="480">
        <f>1305/1800</f>
        <v>0.72499999999999998</v>
      </c>
      <c r="R348" s="480">
        <f>1365/1800</f>
        <v>0.75829999999999997</v>
      </c>
      <c r="S348" s="480"/>
      <c r="T348" s="480"/>
      <c r="U348" s="480"/>
      <c r="V348" s="480"/>
      <c r="W348" s="480"/>
      <c r="X348" s="480"/>
      <c r="Y348" s="480"/>
      <c r="Z348" s="480"/>
      <c r="AA348" s="480"/>
      <c r="AB348" s="480"/>
      <c r="AC348" s="393" t="e">
        <f t="shared" si="132"/>
        <v>#DIV/0!</v>
      </c>
      <c r="AD348" s="393" t="e">
        <f t="shared" si="133"/>
        <v>#DIV/0!</v>
      </c>
      <c r="AE348" s="393" t="e">
        <f t="shared" si="134"/>
        <v>#DIV/0!</v>
      </c>
      <c r="AF348" s="393" t="e">
        <f t="shared" si="135"/>
        <v>#DIV/0!</v>
      </c>
      <c r="AG348" s="393" t="e">
        <f t="shared" si="136"/>
        <v>#DIV/0!</v>
      </c>
      <c r="AH348" s="393" t="e">
        <f t="shared" si="137"/>
        <v>#DIV/0!</v>
      </c>
      <c r="AI348" s="393" t="e">
        <f t="shared" si="138"/>
        <v>#DIV/0!</v>
      </c>
      <c r="AJ348" s="393" t="e">
        <f t="shared" si="139"/>
        <v>#DIV/0!</v>
      </c>
      <c r="AK348" s="393" t="e">
        <f t="shared" si="140"/>
        <v>#DIV/0!</v>
      </c>
      <c r="AL348" s="393" t="e">
        <f t="shared" si="141"/>
        <v>#DIV/0!</v>
      </c>
      <c r="AM348" s="393" t="e">
        <f t="shared" si="142"/>
        <v>#DIV/0!</v>
      </c>
      <c r="AN348" s="393" t="e">
        <f t="shared" si="143"/>
        <v>#DIV/0!</v>
      </c>
      <c r="AO348" s="393" t="e">
        <f t="shared" si="144"/>
        <v>#DIV/0!</v>
      </c>
      <c r="AP348" s="393" t="e">
        <f t="shared" si="145"/>
        <v>#DIV/0!</v>
      </c>
      <c r="AQ348" s="393" t="e">
        <f t="shared" si="146"/>
        <v>#DIV/0!</v>
      </c>
      <c r="AR348" s="393">
        <f t="shared" si="147"/>
        <v>4.593</v>
      </c>
      <c r="AS348" s="393">
        <f t="shared" si="148"/>
        <v>-100</v>
      </c>
      <c r="AT348" s="393" t="e">
        <f t="shared" si="149"/>
        <v>#DIV/0!</v>
      </c>
      <c r="AU348" s="393" t="e">
        <f t="shared" si="150"/>
        <v>#DIV/0!</v>
      </c>
      <c r="AV348" s="393" t="e">
        <f t="shared" si="151"/>
        <v>#DIV/0!</v>
      </c>
      <c r="AW348" s="393" t="e">
        <f t="shared" si="152"/>
        <v>#DIV/0!</v>
      </c>
      <c r="AX348" s="393" t="e">
        <f t="shared" si="153"/>
        <v>#DIV/0!</v>
      </c>
      <c r="AY348" s="393" t="e">
        <f t="shared" si="154"/>
        <v>#DIV/0!</v>
      </c>
      <c r="AZ348" s="393" t="e">
        <f t="shared" si="155"/>
        <v>#DIV/0!</v>
      </c>
      <c r="BA348" s="393" t="e">
        <f t="shared" si="156"/>
        <v>#DIV/0!</v>
      </c>
      <c r="BB348" s="393" t="e">
        <f t="shared" si="157"/>
        <v>#DIV/0!</v>
      </c>
    </row>
    <row r="349" spans="1:54" x14ac:dyDescent="0.25">
      <c r="A349" s="565" t="s">
        <v>2096</v>
      </c>
      <c r="B349" s="480">
        <f>1004/1800</f>
        <v>0.55779999999999996</v>
      </c>
      <c r="C349" s="480">
        <f>1065/1800</f>
        <v>0.5917</v>
      </c>
      <c r="D349" s="480">
        <f>1068/1800</f>
        <v>0.59330000000000005</v>
      </c>
      <c r="E349" s="480"/>
      <c r="F349" s="480"/>
      <c r="G349" s="480">
        <f>1343/2400</f>
        <v>0.55959999999999999</v>
      </c>
      <c r="H349" s="480"/>
      <c r="I349" s="480"/>
      <c r="J349" s="480"/>
      <c r="K349" s="480"/>
      <c r="L349" s="480">
        <f>660/1200</f>
        <v>0.55000000000000004</v>
      </c>
      <c r="M349" s="480"/>
      <c r="N349" s="480"/>
      <c r="O349" s="480"/>
      <c r="P349" s="480"/>
      <c r="Q349" s="480"/>
      <c r="R349" s="480"/>
      <c r="S349" s="480"/>
      <c r="T349" s="480"/>
      <c r="U349" s="480"/>
      <c r="V349" s="480"/>
      <c r="W349" s="480"/>
      <c r="X349" s="480"/>
      <c r="Y349" s="480"/>
      <c r="Z349" s="480"/>
      <c r="AA349" s="480"/>
      <c r="AB349" s="480"/>
      <c r="AC349" s="393">
        <f t="shared" si="132"/>
        <v>6.077</v>
      </c>
      <c r="AD349" s="393">
        <f t="shared" si="133"/>
        <v>0.27</v>
      </c>
      <c r="AE349" s="393">
        <f t="shared" si="134"/>
        <v>-100</v>
      </c>
      <c r="AF349" s="393" t="e">
        <f t="shared" si="135"/>
        <v>#DIV/0!</v>
      </c>
      <c r="AG349" s="393" t="e">
        <f t="shared" si="136"/>
        <v>#DIV/0!</v>
      </c>
      <c r="AH349" s="393">
        <f t="shared" si="137"/>
        <v>-100</v>
      </c>
      <c r="AI349" s="393" t="e">
        <f t="shared" si="138"/>
        <v>#DIV/0!</v>
      </c>
      <c r="AJ349" s="393" t="e">
        <f t="shared" si="139"/>
        <v>#DIV/0!</v>
      </c>
      <c r="AK349" s="393" t="e">
        <f t="shared" si="140"/>
        <v>#DIV/0!</v>
      </c>
      <c r="AL349" s="393" t="e">
        <f t="shared" si="141"/>
        <v>#DIV/0!</v>
      </c>
      <c r="AM349" s="393">
        <f t="shared" si="142"/>
        <v>-100</v>
      </c>
      <c r="AN349" s="393" t="e">
        <f t="shared" si="143"/>
        <v>#DIV/0!</v>
      </c>
      <c r="AO349" s="393" t="e">
        <f t="shared" si="144"/>
        <v>#DIV/0!</v>
      </c>
      <c r="AP349" s="393" t="e">
        <f t="shared" si="145"/>
        <v>#DIV/0!</v>
      </c>
      <c r="AQ349" s="393" t="e">
        <f t="shared" si="146"/>
        <v>#DIV/0!</v>
      </c>
      <c r="AR349" s="393" t="e">
        <f t="shared" si="147"/>
        <v>#DIV/0!</v>
      </c>
      <c r="AS349" s="393" t="e">
        <f t="shared" si="148"/>
        <v>#DIV/0!</v>
      </c>
      <c r="AT349" s="393" t="e">
        <f t="shared" si="149"/>
        <v>#DIV/0!</v>
      </c>
      <c r="AU349" s="393" t="e">
        <f t="shared" si="150"/>
        <v>#DIV/0!</v>
      </c>
      <c r="AV349" s="393" t="e">
        <f t="shared" si="151"/>
        <v>#DIV/0!</v>
      </c>
      <c r="AW349" s="393" t="e">
        <f t="shared" si="152"/>
        <v>#DIV/0!</v>
      </c>
      <c r="AX349" s="393" t="e">
        <f t="shared" si="153"/>
        <v>#DIV/0!</v>
      </c>
      <c r="AY349" s="393" t="e">
        <f t="shared" si="154"/>
        <v>#DIV/0!</v>
      </c>
      <c r="AZ349" s="393" t="e">
        <f t="shared" si="155"/>
        <v>#DIV/0!</v>
      </c>
      <c r="BA349" s="393" t="e">
        <f t="shared" si="156"/>
        <v>#DIV/0!</v>
      </c>
      <c r="BB349" s="393" t="e">
        <f t="shared" si="157"/>
        <v>#DIV/0!</v>
      </c>
    </row>
    <row r="350" spans="1:54" x14ac:dyDescent="0.25">
      <c r="A350" s="361" t="s">
        <v>1148</v>
      </c>
      <c r="B350" s="480"/>
      <c r="C350" s="480"/>
      <c r="D350" s="480"/>
      <c r="E350" s="480"/>
      <c r="F350" s="480"/>
      <c r="G350" s="480"/>
      <c r="H350" s="480"/>
      <c r="I350" s="480"/>
      <c r="J350" s="480"/>
      <c r="K350" s="480"/>
      <c r="L350" s="480"/>
      <c r="M350" s="480"/>
      <c r="N350" s="480"/>
      <c r="O350" s="480"/>
      <c r="P350" s="480"/>
      <c r="Q350" s="480"/>
      <c r="R350" s="480"/>
      <c r="S350" s="480"/>
      <c r="T350" s="480"/>
      <c r="U350" s="480"/>
      <c r="V350" s="481"/>
      <c r="W350" s="481"/>
      <c r="X350" s="481">
        <f>1080/1800</f>
        <v>0.6</v>
      </c>
      <c r="Y350" s="481"/>
      <c r="Z350" s="481"/>
      <c r="AA350" s="481"/>
      <c r="AB350" s="481"/>
      <c r="AC350" s="393" t="e">
        <f t="shared" si="132"/>
        <v>#DIV/0!</v>
      </c>
      <c r="AD350" s="393" t="e">
        <f t="shared" si="133"/>
        <v>#DIV/0!</v>
      </c>
      <c r="AE350" s="393" t="e">
        <f t="shared" si="134"/>
        <v>#DIV/0!</v>
      </c>
      <c r="AF350" s="393" t="e">
        <f t="shared" si="135"/>
        <v>#DIV/0!</v>
      </c>
      <c r="AG350" s="393" t="e">
        <f t="shared" si="136"/>
        <v>#DIV/0!</v>
      </c>
      <c r="AH350" s="393" t="e">
        <f t="shared" si="137"/>
        <v>#DIV/0!</v>
      </c>
      <c r="AI350" s="393" t="e">
        <f t="shared" si="138"/>
        <v>#DIV/0!</v>
      </c>
      <c r="AJ350" s="393" t="e">
        <f t="shared" si="139"/>
        <v>#DIV/0!</v>
      </c>
      <c r="AK350" s="393" t="e">
        <f t="shared" si="140"/>
        <v>#DIV/0!</v>
      </c>
      <c r="AL350" s="393" t="e">
        <f t="shared" si="141"/>
        <v>#DIV/0!</v>
      </c>
      <c r="AM350" s="393" t="e">
        <f t="shared" si="142"/>
        <v>#DIV/0!</v>
      </c>
      <c r="AN350" s="393" t="e">
        <f t="shared" si="143"/>
        <v>#DIV/0!</v>
      </c>
      <c r="AO350" s="393" t="e">
        <f t="shared" si="144"/>
        <v>#DIV/0!</v>
      </c>
      <c r="AP350" s="393" t="e">
        <f t="shared" si="145"/>
        <v>#DIV/0!</v>
      </c>
      <c r="AQ350" s="393" t="e">
        <f t="shared" si="146"/>
        <v>#DIV/0!</v>
      </c>
      <c r="AR350" s="393" t="e">
        <f t="shared" si="147"/>
        <v>#DIV/0!</v>
      </c>
      <c r="AS350" s="393" t="e">
        <f t="shared" si="148"/>
        <v>#DIV/0!</v>
      </c>
      <c r="AT350" s="393" t="e">
        <f t="shared" si="149"/>
        <v>#DIV/0!</v>
      </c>
      <c r="AU350" s="393" t="e">
        <f t="shared" si="150"/>
        <v>#DIV/0!</v>
      </c>
      <c r="AV350" s="393" t="e">
        <f t="shared" si="151"/>
        <v>#DIV/0!</v>
      </c>
      <c r="AW350" s="393" t="e">
        <f t="shared" si="152"/>
        <v>#DIV/0!</v>
      </c>
      <c r="AX350" s="393" t="e">
        <f t="shared" si="153"/>
        <v>#DIV/0!</v>
      </c>
      <c r="AY350" s="393">
        <f t="shared" si="154"/>
        <v>-100</v>
      </c>
      <c r="AZ350" s="393" t="e">
        <f t="shared" si="155"/>
        <v>#DIV/0!</v>
      </c>
      <c r="BA350" s="393" t="e">
        <f t="shared" si="156"/>
        <v>#DIV/0!</v>
      </c>
      <c r="BB350" s="393" t="e">
        <f t="shared" si="157"/>
        <v>#DIV/0!</v>
      </c>
    </row>
    <row r="351" spans="1:54" x14ac:dyDescent="0.25">
      <c r="A351" s="360" t="s">
        <v>4845</v>
      </c>
      <c r="B351" s="480"/>
      <c r="C351" s="480"/>
      <c r="D351" s="480"/>
      <c r="E351" s="480"/>
      <c r="F351" s="480"/>
      <c r="G351" s="480"/>
      <c r="H351" s="480"/>
      <c r="I351" s="480"/>
      <c r="J351" s="480"/>
      <c r="K351" s="480"/>
      <c r="L351" s="480"/>
      <c r="M351" s="480"/>
      <c r="N351" s="480"/>
      <c r="O351" s="480"/>
      <c r="P351" s="480"/>
      <c r="Q351" s="480"/>
      <c r="R351" s="480"/>
      <c r="S351" s="480"/>
      <c r="T351" s="480"/>
      <c r="U351" s="480"/>
      <c r="V351" s="480"/>
      <c r="W351" s="480"/>
      <c r="X351" s="480"/>
      <c r="Y351" s="480"/>
      <c r="Z351" s="480"/>
      <c r="AA351" s="480"/>
      <c r="AB351" s="480">
        <v>0.58599999999999997</v>
      </c>
      <c r="AC351" s="393" t="e">
        <f t="shared" si="132"/>
        <v>#DIV/0!</v>
      </c>
      <c r="AD351" s="393" t="e">
        <f t="shared" si="133"/>
        <v>#DIV/0!</v>
      </c>
      <c r="AE351" s="393" t="e">
        <f t="shared" si="134"/>
        <v>#DIV/0!</v>
      </c>
      <c r="AF351" s="393" t="e">
        <f t="shared" si="135"/>
        <v>#DIV/0!</v>
      </c>
      <c r="AG351" s="393" t="e">
        <f t="shared" si="136"/>
        <v>#DIV/0!</v>
      </c>
      <c r="AH351" s="393" t="e">
        <f t="shared" si="137"/>
        <v>#DIV/0!</v>
      </c>
      <c r="AI351" s="393" t="e">
        <f t="shared" si="138"/>
        <v>#DIV/0!</v>
      </c>
      <c r="AJ351" s="393" t="e">
        <f t="shared" si="139"/>
        <v>#DIV/0!</v>
      </c>
      <c r="AK351" s="393" t="e">
        <f t="shared" si="140"/>
        <v>#DIV/0!</v>
      </c>
      <c r="AL351" s="393" t="e">
        <f t="shared" si="141"/>
        <v>#DIV/0!</v>
      </c>
      <c r="AM351" s="393" t="e">
        <f t="shared" si="142"/>
        <v>#DIV/0!</v>
      </c>
      <c r="AN351" s="393" t="e">
        <f t="shared" si="143"/>
        <v>#DIV/0!</v>
      </c>
      <c r="AO351" s="393" t="e">
        <f t="shared" si="144"/>
        <v>#DIV/0!</v>
      </c>
      <c r="AP351" s="393" t="e">
        <f t="shared" si="145"/>
        <v>#DIV/0!</v>
      </c>
      <c r="AQ351" s="393" t="e">
        <f t="shared" si="146"/>
        <v>#DIV/0!</v>
      </c>
      <c r="AR351" s="393" t="e">
        <f t="shared" si="147"/>
        <v>#DIV/0!</v>
      </c>
      <c r="AS351" s="393" t="e">
        <f t="shared" si="148"/>
        <v>#DIV/0!</v>
      </c>
      <c r="AT351" s="393" t="e">
        <f t="shared" si="149"/>
        <v>#DIV/0!</v>
      </c>
      <c r="AU351" s="393" t="e">
        <f t="shared" si="150"/>
        <v>#DIV/0!</v>
      </c>
      <c r="AV351" s="393" t="e">
        <f t="shared" si="151"/>
        <v>#DIV/0!</v>
      </c>
      <c r="AW351" s="393" t="e">
        <f t="shared" si="152"/>
        <v>#DIV/0!</v>
      </c>
      <c r="AX351" s="393" t="e">
        <f t="shared" si="153"/>
        <v>#DIV/0!</v>
      </c>
      <c r="AY351" s="393" t="e">
        <f t="shared" si="154"/>
        <v>#DIV/0!</v>
      </c>
      <c r="AZ351" s="393" t="e">
        <f t="shared" si="155"/>
        <v>#DIV/0!</v>
      </c>
      <c r="BA351" s="393" t="e">
        <f t="shared" si="156"/>
        <v>#DIV/0!</v>
      </c>
      <c r="BB351" s="393" t="e">
        <f t="shared" si="157"/>
        <v>#DIV/0!</v>
      </c>
    </row>
    <row r="352" spans="1:54" x14ac:dyDescent="0.25">
      <c r="A352" s="361" t="s">
        <v>2699</v>
      </c>
      <c r="B352" s="480"/>
      <c r="C352" s="480"/>
      <c r="D352" s="480"/>
      <c r="E352" s="480"/>
      <c r="F352" s="480"/>
      <c r="G352" s="480"/>
      <c r="H352" s="480"/>
      <c r="I352" s="480"/>
      <c r="J352" s="480"/>
      <c r="K352" s="480"/>
      <c r="L352" s="480"/>
      <c r="M352" s="480"/>
      <c r="N352" s="480"/>
      <c r="O352" s="480"/>
      <c r="P352" s="480"/>
      <c r="Q352" s="480"/>
      <c r="R352" s="480"/>
      <c r="S352" s="480"/>
      <c r="T352" s="480"/>
      <c r="U352" s="480">
        <f>1187/1800</f>
        <v>0.65939999999999999</v>
      </c>
      <c r="V352" s="480">
        <f>911/1200</f>
        <v>0.75919999999999999</v>
      </c>
      <c r="W352" s="480">
        <f>874/1200</f>
        <v>0.72829999999999995</v>
      </c>
      <c r="X352" s="480"/>
      <c r="Y352" s="480"/>
      <c r="Z352" s="480"/>
      <c r="AA352" s="480"/>
      <c r="AB352" s="480"/>
      <c r="AC352" s="393" t="e">
        <f t="shared" si="132"/>
        <v>#DIV/0!</v>
      </c>
      <c r="AD352" s="393" t="e">
        <f t="shared" si="133"/>
        <v>#DIV/0!</v>
      </c>
      <c r="AE352" s="393" t="e">
        <f t="shared" si="134"/>
        <v>#DIV/0!</v>
      </c>
      <c r="AF352" s="393" t="e">
        <f t="shared" si="135"/>
        <v>#DIV/0!</v>
      </c>
      <c r="AG352" s="393" t="e">
        <f t="shared" si="136"/>
        <v>#DIV/0!</v>
      </c>
      <c r="AH352" s="393" t="e">
        <f t="shared" si="137"/>
        <v>#DIV/0!</v>
      </c>
      <c r="AI352" s="393" t="e">
        <f t="shared" si="138"/>
        <v>#DIV/0!</v>
      </c>
      <c r="AJ352" s="393" t="e">
        <f t="shared" si="139"/>
        <v>#DIV/0!</v>
      </c>
      <c r="AK352" s="393" t="e">
        <f t="shared" si="140"/>
        <v>#DIV/0!</v>
      </c>
      <c r="AL352" s="393" t="e">
        <f t="shared" si="141"/>
        <v>#DIV/0!</v>
      </c>
      <c r="AM352" s="393" t="e">
        <f t="shared" si="142"/>
        <v>#DIV/0!</v>
      </c>
      <c r="AN352" s="393" t="e">
        <f t="shared" si="143"/>
        <v>#DIV/0!</v>
      </c>
      <c r="AO352" s="393" t="e">
        <f t="shared" si="144"/>
        <v>#DIV/0!</v>
      </c>
      <c r="AP352" s="393" t="e">
        <f t="shared" si="145"/>
        <v>#DIV/0!</v>
      </c>
      <c r="AQ352" s="393" t="e">
        <f t="shared" si="146"/>
        <v>#DIV/0!</v>
      </c>
      <c r="AR352" s="393" t="e">
        <f t="shared" si="147"/>
        <v>#DIV/0!</v>
      </c>
      <c r="AS352" s="393" t="e">
        <f t="shared" si="148"/>
        <v>#DIV/0!</v>
      </c>
      <c r="AT352" s="393" t="e">
        <f t="shared" si="149"/>
        <v>#DIV/0!</v>
      </c>
      <c r="AU352" s="393" t="e">
        <f t="shared" si="150"/>
        <v>#DIV/0!</v>
      </c>
      <c r="AV352" s="393">
        <f t="shared" si="151"/>
        <v>15.135</v>
      </c>
      <c r="AW352" s="393">
        <f t="shared" si="152"/>
        <v>-4.07</v>
      </c>
      <c r="AX352" s="393">
        <f t="shared" si="153"/>
        <v>-100</v>
      </c>
      <c r="AY352" s="393" t="e">
        <f t="shared" si="154"/>
        <v>#DIV/0!</v>
      </c>
      <c r="AZ352" s="393" t="e">
        <f t="shared" si="155"/>
        <v>#DIV/0!</v>
      </c>
      <c r="BA352" s="393" t="e">
        <f t="shared" si="156"/>
        <v>#DIV/0!</v>
      </c>
      <c r="BB352" s="393" t="e">
        <f t="shared" si="157"/>
        <v>#DIV/0!</v>
      </c>
    </row>
    <row r="353" spans="1:54" x14ac:dyDescent="0.25">
      <c r="A353" s="361" t="s">
        <v>2638</v>
      </c>
      <c r="B353" s="480">
        <f>1047/1800</f>
        <v>0.58169999999999999</v>
      </c>
      <c r="C353" s="480"/>
      <c r="D353" s="480"/>
      <c r="E353" s="480"/>
      <c r="F353" s="480"/>
      <c r="G353" s="480">
        <f>1125/2400</f>
        <v>0.46879999999999999</v>
      </c>
      <c r="H353" s="480">
        <f>567/1200</f>
        <v>0.47249999999999998</v>
      </c>
      <c r="I353" s="480"/>
      <c r="J353" s="480"/>
      <c r="K353" s="480"/>
      <c r="L353" s="480"/>
      <c r="M353" s="480"/>
      <c r="N353" s="480"/>
      <c r="O353" s="480"/>
      <c r="P353" s="480"/>
      <c r="Q353" s="480"/>
      <c r="R353" s="480"/>
      <c r="S353" s="480"/>
      <c r="T353" s="480"/>
      <c r="U353" s="480"/>
      <c r="V353" s="480"/>
      <c r="W353" s="480"/>
      <c r="X353" s="480"/>
      <c r="Y353" s="480"/>
      <c r="Z353" s="480"/>
      <c r="AA353" s="480"/>
      <c r="AB353" s="480"/>
      <c r="AC353" s="393">
        <f t="shared" si="132"/>
        <v>-100</v>
      </c>
      <c r="AD353" s="393" t="e">
        <f t="shared" si="133"/>
        <v>#DIV/0!</v>
      </c>
      <c r="AE353" s="393" t="e">
        <f t="shared" si="134"/>
        <v>#DIV/0!</v>
      </c>
      <c r="AF353" s="393" t="e">
        <f t="shared" si="135"/>
        <v>#DIV/0!</v>
      </c>
      <c r="AG353" s="393" t="e">
        <f t="shared" si="136"/>
        <v>#DIV/0!</v>
      </c>
      <c r="AH353" s="393">
        <f t="shared" si="137"/>
        <v>0.78900000000000003</v>
      </c>
      <c r="AI353" s="393">
        <f t="shared" si="138"/>
        <v>-100</v>
      </c>
      <c r="AJ353" s="393" t="e">
        <f t="shared" si="139"/>
        <v>#DIV/0!</v>
      </c>
      <c r="AK353" s="393" t="e">
        <f t="shared" si="140"/>
        <v>#DIV/0!</v>
      </c>
      <c r="AL353" s="393" t="e">
        <f t="shared" si="141"/>
        <v>#DIV/0!</v>
      </c>
      <c r="AM353" s="393" t="e">
        <f t="shared" si="142"/>
        <v>#DIV/0!</v>
      </c>
      <c r="AN353" s="393" t="e">
        <f t="shared" si="143"/>
        <v>#DIV/0!</v>
      </c>
      <c r="AO353" s="393" t="e">
        <f t="shared" si="144"/>
        <v>#DIV/0!</v>
      </c>
      <c r="AP353" s="393" t="e">
        <f t="shared" si="145"/>
        <v>#DIV/0!</v>
      </c>
      <c r="AQ353" s="393" t="e">
        <f t="shared" si="146"/>
        <v>#DIV/0!</v>
      </c>
      <c r="AR353" s="393" t="e">
        <f t="shared" si="147"/>
        <v>#DIV/0!</v>
      </c>
      <c r="AS353" s="393" t="e">
        <f t="shared" si="148"/>
        <v>#DIV/0!</v>
      </c>
      <c r="AT353" s="393" t="e">
        <f t="shared" si="149"/>
        <v>#DIV/0!</v>
      </c>
      <c r="AU353" s="393" t="e">
        <f t="shared" si="150"/>
        <v>#DIV/0!</v>
      </c>
      <c r="AV353" s="393" t="e">
        <f t="shared" si="151"/>
        <v>#DIV/0!</v>
      </c>
      <c r="AW353" s="393" t="e">
        <f t="shared" si="152"/>
        <v>#DIV/0!</v>
      </c>
      <c r="AX353" s="393" t="e">
        <f t="shared" si="153"/>
        <v>#DIV/0!</v>
      </c>
      <c r="AY353" s="393" t="e">
        <f t="shared" si="154"/>
        <v>#DIV/0!</v>
      </c>
      <c r="AZ353" s="393" t="e">
        <f t="shared" si="155"/>
        <v>#DIV/0!</v>
      </c>
      <c r="BA353" s="393" t="e">
        <f t="shared" si="156"/>
        <v>#DIV/0!</v>
      </c>
      <c r="BB353" s="393" t="e">
        <f t="shared" si="157"/>
        <v>#DIV/0!</v>
      </c>
    </row>
    <row r="354" spans="1:54" x14ac:dyDescent="0.25">
      <c r="A354" s="361" t="s">
        <v>1387</v>
      </c>
      <c r="B354" s="480">
        <f>1097/1800</f>
        <v>0.60940000000000005</v>
      </c>
      <c r="C354" s="480"/>
      <c r="D354" s="480"/>
      <c r="E354" s="480"/>
      <c r="F354" s="480"/>
      <c r="G354" s="480"/>
      <c r="H354" s="480"/>
      <c r="I354" s="480"/>
      <c r="J354" s="480"/>
      <c r="K354" s="480"/>
      <c r="L354" s="480"/>
      <c r="M354" s="480"/>
      <c r="N354" s="480"/>
      <c r="O354" s="480"/>
      <c r="P354" s="480"/>
      <c r="Q354" s="480"/>
      <c r="R354" s="480"/>
      <c r="S354" s="480"/>
      <c r="T354" s="480"/>
      <c r="U354" s="480"/>
      <c r="V354" s="480"/>
      <c r="W354" s="480"/>
      <c r="X354" s="480"/>
      <c r="Y354" s="480"/>
      <c r="Z354" s="480"/>
      <c r="AA354" s="480"/>
      <c r="AB354" s="480"/>
      <c r="AC354" s="393">
        <f t="shared" si="132"/>
        <v>-100</v>
      </c>
      <c r="AD354" s="393" t="e">
        <f t="shared" si="133"/>
        <v>#DIV/0!</v>
      </c>
      <c r="AE354" s="393" t="e">
        <f t="shared" si="134"/>
        <v>#DIV/0!</v>
      </c>
      <c r="AF354" s="393" t="e">
        <f t="shared" si="135"/>
        <v>#DIV/0!</v>
      </c>
      <c r="AG354" s="393" t="e">
        <f t="shared" si="136"/>
        <v>#DIV/0!</v>
      </c>
      <c r="AH354" s="393" t="e">
        <f t="shared" si="137"/>
        <v>#DIV/0!</v>
      </c>
      <c r="AI354" s="393" t="e">
        <f t="shared" si="138"/>
        <v>#DIV/0!</v>
      </c>
      <c r="AJ354" s="393" t="e">
        <f t="shared" si="139"/>
        <v>#DIV/0!</v>
      </c>
      <c r="AK354" s="393" t="e">
        <f t="shared" si="140"/>
        <v>#DIV/0!</v>
      </c>
      <c r="AL354" s="393" t="e">
        <f t="shared" si="141"/>
        <v>#DIV/0!</v>
      </c>
      <c r="AM354" s="393" t="e">
        <f t="shared" si="142"/>
        <v>#DIV/0!</v>
      </c>
      <c r="AN354" s="393" t="e">
        <f t="shared" si="143"/>
        <v>#DIV/0!</v>
      </c>
      <c r="AO354" s="393" t="e">
        <f t="shared" si="144"/>
        <v>#DIV/0!</v>
      </c>
      <c r="AP354" s="393" t="e">
        <f t="shared" si="145"/>
        <v>#DIV/0!</v>
      </c>
      <c r="AQ354" s="393" t="e">
        <f t="shared" si="146"/>
        <v>#DIV/0!</v>
      </c>
      <c r="AR354" s="393" t="e">
        <f t="shared" si="147"/>
        <v>#DIV/0!</v>
      </c>
      <c r="AS354" s="393" t="e">
        <f t="shared" si="148"/>
        <v>#DIV/0!</v>
      </c>
      <c r="AT354" s="393" t="e">
        <f t="shared" si="149"/>
        <v>#DIV/0!</v>
      </c>
      <c r="AU354" s="393" t="e">
        <f t="shared" si="150"/>
        <v>#DIV/0!</v>
      </c>
      <c r="AV354" s="393" t="e">
        <f t="shared" si="151"/>
        <v>#DIV/0!</v>
      </c>
      <c r="AW354" s="393" t="e">
        <f t="shared" si="152"/>
        <v>#DIV/0!</v>
      </c>
      <c r="AX354" s="393" t="e">
        <f t="shared" si="153"/>
        <v>#DIV/0!</v>
      </c>
      <c r="AY354" s="393" t="e">
        <f t="shared" si="154"/>
        <v>#DIV/0!</v>
      </c>
      <c r="AZ354" s="393" t="e">
        <f t="shared" si="155"/>
        <v>#DIV/0!</v>
      </c>
      <c r="BA354" s="393" t="e">
        <f t="shared" si="156"/>
        <v>#DIV/0!</v>
      </c>
      <c r="BB354" s="393" t="e">
        <f t="shared" si="157"/>
        <v>#DIV/0!</v>
      </c>
    </row>
    <row r="355" spans="1:54" x14ac:dyDescent="0.25">
      <c r="A355" s="360" t="s">
        <v>48</v>
      </c>
      <c r="B355" s="480"/>
      <c r="C355" s="480"/>
      <c r="D355" s="480"/>
      <c r="E355" s="480"/>
      <c r="F355" s="480"/>
      <c r="G355" s="480"/>
      <c r="H355" s="480">
        <f>749/1200</f>
        <v>0.62419999999999998</v>
      </c>
      <c r="I355" s="480"/>
      <c r="J355" s="480"/>
      <c r="K355" s="480"/>
      <c r="L355" s="480"/>
      <c r="M355" s="480"/>
      <c r="N355" s="480"/>
      <c r="O355" s="480"/>
      <c r="P355" s="480"/>
      <c r="Q355" s="480"/>
      <c r="R355" s="480"/>
      <c r="S355" s="480"/>
      <c r="T355" s="480"/>
      <c r="U355" s="480"/>
      <c r="V355" s="480"/>
      <c r="W355" s="480"/>
      <c r="X355" s="480"/>
      <c r="Y355" s="480"/>
      <c r="Z355" s="480"/>
      <c r="AA355" s="480"/>
      <c r="AB355" s="480"/>
      <c r="AC355" s="393" t="e">
        <f t="shared" si="132"/>
        <v>#DIV/0!</v>
      </c>
      <c r="AD355" s="393" t="e">
        <f t="shared" si="133"/>
        <v>#DIV/0!</v>
      </c>
      <c r="AE355" s="393" t="e">
        <f t="shared" si="134"/>
        <v>#DIV/0!</v>
      </c>
      <c r="AF355" s="393" t="e">
        <f t="shared" si="135"/>
        <v>#DIV/0!</v>
      </c>
      <c r="AG355" s="393" t="e">
        <f t="shared" si="136"/>
        <v>#DIV/0!</v>
      </c>
      <c r="AH355" s="393" t="e">
        <f t="shared" si="137"/>
        <v>#DIV/0!</v>
      </c>
      <c r="AI355" s="393">
        <f t="shared" si="138"/>
        <v>-100</v>
      </c>
      <c r="AJ355" s="393" t="e">
        <f t="shared" si="139"/>
        <v>#DIV/0!</v>
      </c>
      <c r="AK355" s="393" t="e">
        <f t="shared" si="140"/>
        <v>#DIV/0!</v>
      </c>
      <c r="AL355" s="393" t="e">
        <f t="shared" si="141"/>
        <v>#DIV/0!</v>
      </c>
      <c r="AM355" s="393" t="e">
        <f t="shared" si="142"/>
        <v>#DIV/0!</v>
      </c>
      <c r="AN355" s="393" t="e">
        <f t="shared" si="143"/>
        <v>#DIV/0!</v>
      </c>
      <c r="AO355" s="393" t="e">
        <f t="shared" si="144"/>
        <v>#DIV/0!</v>
      </c>
      <c r="AP355" s="393" t="e">
        <f t="shared" si="145"/>
        <v>#DIV/0!</v>
      </c>
      <c r="AQ355" s="393" t="e">
        <f t="shared" si="146"/>
        <v>#DIV/0!</v>
      </c>
      <c r="AR355" s="393" t="e">
        <f t="shared" si="147"/>
        <v>#DIV/0!</v>
      </c>
      <c r="AS355" s="393" t="e">
        <f t="shared" si="148"/>
        <v>#DIV/0!</v>
      </c>
      <c r="AT355" s="393" t="e">
        <f t="shared" si="149"/>
        <v>#DIV/0!</v>
      </c>
      <c r="AU355" s="393" t="e">
        <f t="shared" si="150"/>
        <v>#DIV/0!</v>
      </c>
      <c r="AV355" s="393" t="e">
        <f t="shared" si="151"/>
        <v>#DIV/0!</v>
      </c>
      <c r="AW355" s="393" t="e">
        <f t="shared" si="152"/>
        <v>#DIV/0!</v>
      </c>
      <c r="AX355" s="393" t="e">
        <f t="shared" si="153"/>
        <v>#DIV/0!</v>
      </c>
      <c r="AY355" s="393" t="e">
        <f t="shared" si="154"/>
        <v>#DIV/0!</v>
      </c>
      <c r="AZ355" s="393" t="e">
        <f t="shared" si="155"/>
        <v>#DIV/0!</v>
      </c>
      <c r="BA355" s="393" t="e">
        <f t="shared" si="156"/>
        <v>#DIV/0!</v>
      </c>
      <c r="BB355" s="393" t="e">
        <f t="shared" si="157"/>
        <v>#DIV/0!</v>
      </c>
    </row>
    <row r="356" spans="1:54" x14ac:dyDescent="0.25">
      <c r="A356" s="362" t="s">
        <v>1390</v>
      </c>
      <c r="B356" s="480">
        <f>909/1800</f>
        <v>0.505</v>
      </c>
      <c r="C356" s="480"/>
      <c r="D356" s="480"/>
      <c r="E356" s="480"/>
      <c r="F356" s="480"/>
      <c r="G356" s="480"/>
      <c r="H356" s="480"/>
      <c r="I356" s="480"/>
      <c r="J356" s="480"/>
      <c r="K356" s="480"/>
      <c r="L356" s="480"/>
      <c r="M356" s="480"/>
      <c r="N356" s="480"/>
      <c r="O356" s="480"/>
      <c r="P356" s="480"/>
      <c r="Q356" s="480"/>
      <c r="R356" s="480"/>
      <c r="S356" s="480"/>
      <c r="T356" s="480"/>
      <c r="U356" s="480"/>
      <c r="V356" s="480"/>
      <c r="W356" s="480"/>
      <c r="X356" s="480"/>
      <c r="Y356" s="480"/>
      <c r="Z356" s="480"/>
      <c r="AA356" s="480"/>
      <c r="AB356" s="480"/>
      <c r="AC356" s="393">
        <f t="shared" si="132"/>
        <v>-100</v>
      </c>
      <c r="AD356" s="393" t="e">
        <f t="shared" si="133"/>
        <v>#DIV/0!</v>
      </c>
      <c r="AE356" s="393" t="e">
        <f t="shared" si="134"/>
        <v>#DIV/0!</v>
      </c>
      <c r="AF356" s="393" t="e">
        <f t="shared" si="135"/>
        <v>#DIV/0!</v>
      </c>
      <c r="AG356" s="393" t="e">
        <f t="shared" si="136"/>
        <v>#DIV/0!</v>
      </c>
      <c r="AH356" s="393" t="e">
        <f t="shared" si="137"/>
        <v>#DIV/0!</v>
      </c>
      <c r="AI356" s="393" t="e">
        <f t="shared" si="138"/>
        <v>#DIV/0!</v>
      </c>
      <c r="AJ356" s="393" t="e">
        <f t="shared" si="139"/>
        <v>#DIV/0!</v>
      </c>
      <c r="AK356" s="393" t="e">
        <f t="shared" si="140"/>
        <v>#DIV/0!</v>
      </c>
      <c r="AL356" s="393" t="e">
        <f t="shared" si="141"/>
        <v>#DIV/0!</v>
      </c>
      <c r="AM356" s="393" t="e">
        <f t="shared" si="142"/>
        <v>#DIV/0!</v>
      </c>
      <c r="AN356" s="393" t="e">
        <f t="shared" si="143"/>
        <v>#DIV/0!</v>
      </c>
      <c r="AO356" s="393" t="e">
        <f t="shared" si="144"/>
        <v>#DIV/0!</v>
      </c>
      <c r="AP356" s="393" t="e">
        <f t="shared" si="145"/>
        <v>#DIV/0!</v>
      </c>
      <c r="AQ356" s="393" t="e">
        <f t="shared" si="146"/>
        <v>#DIV/0!</v>
      </c>
      <c r="AR356" s="393" t="e">
        <f t="shared" si="147"/>
        <v>#DIV/0!</v>
      </c>
      <c r="AS356" s="393" t="e">
        <f t="shared" si="148"/>
        <v>#DIV/0!</v>
      </c>
      <c r="AT356" s="393" t="e">
        <f t="shared" si="149"/>
        <v>#DIV/0!</v>
      </c>
      <c r="AU356" s="393" t="e">
        <f t="shared" si="150"/>
        <v>#DIV/0!</v>
      </c>
      <c r="AV356" s="393" t="e">
        <f t="shared" si="151"/>
        <v>#DIV/0!</v>
      </c>
      <c r="AW356" s="393" t="e">
        <f t="shared" si="152"/>
        <v>#DIV/0!</v>
      </c>
      <c r="AX356" s="393" t="e">
        <f t="shared" si="153"/>
        <v>#DIV/0!</v>
      </c>
      <c r="AY356" s="393" t="e">
        <f t="shared" si="154"/>
        <v>#DIV/0!</v>
      </c>
      <c r="AZ356" s="393" t="e">
        <f t="shared" si="155"/>
        <v>#DIV/0!</v>
      </c>
      <c r="BA356" s="393" t="e">
        <f t="shared" si="156"/>
        <v>#DIV/0!</v>
      </c>
      <c r="BB356" s="393" t="e">
        <f t="shared" si="157"/>
        <v>#DIV/0!</v>
      </c>
    </row>
    <row r="357" spans="1:54" x14ac:dyDescent="0.25">
      <c r="A357" s="361" t="s">
        <v>919</v>
      </c>
      <c r="B357" s="480"/>
      <c r="C357" s="480"/>
      <c r="D357" s="480"/>
      <c r="E357" s="480"/>
      <c r="F357" s="480"/>
      <c r="G357" s="480"/>
      <c r="H357" s="480"/>
      <c r="I357" s="480"/>
      <c r="J357" s="480"/>
      <c r="K357" s="480"/>
      <c r="L357" s="480"/>
      <c r="M357" s="480"/>
      <c r="N357" s="480"/>
      <c r="O357" s="480"/>
      <c r="P357" s="480"/>
      <c r="Q357" s="480"/>
      <c r="R357" s="480"/>
      <c r="S357" s="480"/>
      <c r="T357" s="480"/>
      <c r="U357" s="480"/>
      <c r="V357" s="480"/>
      <c r="W357" s="480">
        <f>734/1200</f>
        <v>0.61170000000000002</v>
      </c>
      <c r="X357" s="480"/>
      <c r="Y357" s="480"/>
      <c r="Z357" s="480"/>
      <c r="AA357" s="480"/>
      <c r="AB357" s="480"/>
      <c r="AC357" s="393" t="e">
        <f t="shared" si="132"/>
        <v>#DIV/0!</v>
      </c>
      <c r="AD357" s="393" t="e">
        <f t="shared" si="133"/>
        <v>#DIV/0!</v>
      </c>
      <c r="AE357" s="393" t="e">
        <f t="shared" si="134"/>
        <v>#DIV/0!</v>
      </c>
      <c r="AF357" s="393" t="e">
        <f t="shared" si="135"/>
        <v>#DIV/0!</v>
      </c>
      <c r="AG357" s="393" t="e">
        <f t="shared" si="136"/>
        <v>#DIV/0!</v>
      </c>
      <c r="AH357" s="393" t="e">
        <f t="shared" si="137"/>
        <v>#DIV/0!</v>
      </c>
      <c r="AI357" s="393" t="e">
        <f t="shared" si="138"/>
        <v>#DIV/0!</v>
      </c>
      <c r="AJ357" s="393" t="e">
        <f t="shared" si="139"/>
        <v>#DIV/0!</v>
      </c>
      <c r="AK357" s="393" t="e">
        <f t="shared" si="140"/>
        <v>#DIV/0!</v>
      </c>
      <c r="AL357" s="393" t="e">
        <f t="shared" si="141"/>
        <v>#DIV/0!</v>
      </c>
      <c r="AM357" s="393" t="e">
        <f t="shared" si="142"/>
        <v>#DIV/0!</v>
      </c>
      <c r="AN357" s="393" t="e">
        <f t="shared" si="143"/>
        <v>#DIV/0!</v>
      </c>
      <c r="AO357" s="393" t="e">
        <f t="shared" si="144"/>
        <v>#DIV/0!</v>
      </c>
      <c r="AP357" s="393" t="e">
        <f t="shared" si="145"/>
        <v>#DIV/0!</v>
      </c>
      <c r="AQ357" s="393" t="e">
        <f t="shared" si="146"/>
        <v>#DIV/0!</v>
      </c>
      <c r="AR357" s="393" t="e">
        <f t="shared" si="147"/>
        <v>#DIV/0!</v>
      </c>
      <c r="AS357" s="393" t="e">
        <f t="shared" si="148"/>
        <v>#DIV/0!</v>
      </c>
      <c r="AT357" s="393" t="e">
        <f t="shared" si="149"/>
        <v>#DIV/0!</v>
      </c>
      <c r="AU357" s="393" t="e">
        <f t="shared" si="150"/>
        <v>#DIV/0!</v>
      </c>
      <c r="AV357" s="393" t="e">
        <f t="shared" si="151"/>
        <v>#DIV/0!</v>
      </c>
      <c r="AW357" s="393" t="e">
        <f t="shared" si="152"/>
        <v>#DIV/0!</v>
      </c>
      <c r="AX357" s="393">
        <f t="shared" si="153"/>
        <v>-100</v>
      </c>
      <c r="AY357" s="393" t="e">
        <f t="shared" si="154"/>
        <v>#DIV/0!</v>
      </c>
      <c r="AZ357" s="393" t="e">
        <f t="shared" si="155"/>
        <v>#DIV/0!</v>
      </c>
      <c r="BA357" s="393" t="e">
        <f t="shared" si="156"/>
        <v>#DIV/0!</v>
      </c>
      <c r="BB357" s="393" t="e">
        <f t="shared" si="157"/>
        <v>#DIV/0!</v>
      </c>
    </row>
    <row r="358" spans="1:54" x14ac:dyDescent="0.25">
      <c r="A358" s="361" t="s">
        <v>909</v>
      </c>
      <c r="B358" s="480"/>
      <c r="C358" s="480"/>
      <c r="D358" s="480"/>
      <c r="E358" s="480"/>
      <c r="F358" s="480"/>
      <c r="G358" s="480"/>
      <c r="H358" s="480"/>
      <c r="I358" s="480"/>
      <c r="J358" s="480"/>
      <c r="K358" s="480"/>
      <c r="L358" s="480"/>
      <c r="M358" s="480"/>
      <c r="N358" s="480"/>
      <c r="O358" s="480"/>
      <c r="P358" s="480"/>
      <c r="Q358" s="480"/>
      <c r="R358" s="480"/>
      <c r="S358" s="480"/>
      <c r="T358" s="480"/>
      <c r="U358" s="480"/>
      <c r="V358" s="480"/>
      <c r="W358" s="480">
        <f>791/1200</f>
        <v>0.65920000000000001</v>
      </c>
      <c r="X358" s="480"/>
      <c r="Y358" s="480">
        <f>1150/1800</f>
        <v>0.63890000000000002</v>
      </c>
      <c r="Z358" s="480"/>
      <c r="AA358" s="480"/>
      <c r="AB358" s="480"/>
      <c r="AC358" s="393" t="e">
        <f t="shared" si="132"/>
        <v>#DIV/0!</v>
      </c>
      <c r="AD358" s="393" t="e">
        <f t="shared" si="133"/>
        <v>#DIV/0!</v>
      </c>
      <c r="AE358" s="393" t="e">
        <f t="shared" si="134"/>
        <v>#DIV/0!</v>
      </c>
      <c r="AF358" s="393" t="e">
        <f t="shared" si="135"/>
        <v>#DIV/0!</v>
      </c>
      <c r="AG358" s="393" t="e">
        <f t="shared" si="136"/>
        <v>#DIV/0!</v>
      </c>
      <c r="AH358" s="393" t="e">
        <f t="shared" si="137"/>
        <v>#DIV/0!</v>
      </c>
      <c r="AI358" s="393" t="e">
        <f t="shared" si="138"/>
        <v>#DIV/0!</v>
      </c>
      <c r="AJ358" s="393" t="e">
        <f t="shared" si="139"/>
        <v>#DIV/0!</v>
      </c>
      <c r="AK358" s="393" t="e">
        <f t="shared" si="140"/>
        <v>#DIV/0!</v>
      </c>
      <c r="AL358" s="393" t="e">
        <f t="shared" si="141"/>
        <v>#DIV/0!</v>
      </c>
      <c r="AM358" s="393" t="e">
        <f t="shared" si="142"/>
        <v>#DIV/0!</v>
      </c>
      <c r="AN358" s="393" t="e">
        <f t="shared" si="143"/>
        <v>#DIV/0!</v>
      </c>
      <c r="AO358" s="393" t="e">
        <f t="shared" si="144"/>
        <v>#DIV/0!</v>
      </c>
      <c r="AP358" s="393" t="e">
        <f t="shared" si="145"/>
        <v>#DIV/0!</v>
      </c>
      <c r="AQ358" s="393" t="e">
        <f t="shared" si="146"/>
        <v>#DIV/0!</v>
      </c>
      <c r="AR358" s="393" t="e">
        <f t="shared" si="147"/>
        <v>#DIV/0!</v>
      </c>
      <c r="AS358" s="393" t="e">
        <f t="shared" si="148"/>
        <v>#DIV/0!</v>
      </c>
      <c r="AT358" s="393" t="e">
        <f t="shared" si="149"/>
        <v>#DIV/0!</v>
      </c>
      <c r="AU358" s="393" t="e">
        <f t="shared" si="150"/>
        <v>#DIV/0!</v>
      </c>
      <c r="AV358" s="393" t="e">
        <f t="shared" si="151"/>
        <v>#DIV/0!</v>
      </c>
      <c r="AW358" s="393" t="e">
        <f t="shared" si="152"/>
        <v>#DIV/0!</v>
      </c>
      <c r="AX358" s="393">
        <f t="shared" si="153"/>
        <v>-100</v>
      </c>
      <c r="AY358" s="393" t="e">
        <f t="shared" si="154"/>
        <v>#DIV/0!</v>
      </c>
      <c r="AZ358" s="393">
        <f t="shared" si="155"/>
        <v>-100</v>
      </c>
      <c r="BA358" s="393" t="e">
        <f t="shared" si="156"/>
        <v>#DIV/0!</v>
      </c>
      <c r="BB358" s="393" t="e">
        <f t="shared" si="157"/>
        <v>#DIV/0!</v>
      </c>
    </row>
    <row r="359" spans="1:54" x14ac:dyDescent="0.25">
      <c r="A359" s="360" t="s">
        <v>4839</v>
      </c>
      <c r="B359" s="480"/>
      <c r="C359" s="480"/>
      <c r="D359" s="480"/>
      <c r="E359" s="480"/>
      <c r="F359" s="480"/>
      <c r="G359" s="480"/>
      <c r="H359" s="480"/>
      <c r="I359" s="480"/>
      <c r="J359" s="480"/>
      <c r="K359" s="480"/>
      <c r="L359" s="480"/>
      <c r="M359" s="480"/>
      <c r="N359" s="480"/>
      <c r="O359" s="480"/>
      <c r="P359" s="480"/>
      <c r="Q359" s="480"/>
      <c r="R359" s="480"/>
      <c r="S359" s="480"/>
      <c r="T359" s="480"/>
      <c r="U359" s="480"/>
      <c r="V359" s="480"/>
      <c r="W359" s="480"/>
      <c r="X359" s="480"/>
      <c r="Y359" s="480"/>
      <c r="Z359" s="480"/>
      <c r="AA359" s="480"/>
      <c r="AB359" s="480">
        <v>0.61</v>
      </c>
      <c r="AC359" s="393" t="e">
        <f t="shared" si="132"/>
        <v>#DIV/0!</v>
      </c>
      <c r="AD359" s="393" t="e">
        <f t="shared" si="133"/>
        <v>#DIV/0!</v>
      </c>
      <c r="AE359" s="393" t="e">
        <f t="shared" si="134"/>
        <v>#DIV/0!</v>
      </c>
      <c r="AF359" s="393" t="e">
        <f t="shared" si="135"/>
        <v>#DIV/0!</v>
      </c>
      <c r="AG359" s="393" t="e">
        <f t="shared" si="136"/>
        <v>#DIV/0!</v>
      </c>
      <c r="AH359" s="393" t="e">
        <f t="shared" si="137"/>
        <v>#DIV/0!</v>
      </c>
      <c r="AI359" s="393" t="e">
        <f t="shared" si="138"/>
        <v>#DIV/0!</v>
      </c>
      <c r="AJ359" s="393" t="e">
        <f t="shared" si="139"/>
        <v>#DIV/0!</v>
      </c>
      <c r="AK359" s="393" t="e">
        <f t="shared" si="140"/>
        <v>#DIV/0!</v>
      </c>
      <c r="AL359" s="393" t="e">
        <f t="shared" si="141"/>
        <v>#DIV/0!</v>
      </c>
      <c r="AM359" s="393" t="e">
        <f t="shared" si="142"/>
        <v>#DIV/0!</v>
      </c>
      <c r="AN359" s="393" t="e">
        <f t="shared" si="143"/>
        <v>#DIV/0!</v>
      </c>
      <c r="AO359" s="393" t="e">
        <f t="shared" si="144"/>
        <v>#DIV/0!</v>
      </c>
      <c r="AP359" s="393" t="e">
        <f t="shared" si="145"/>
        <v>#DIV/0!</v>
      </c>
      <c r="AQ359" s="393" t="e">
        <f t="shared" si="146"/>
        <v>#DIV/0!</v>
      </c>
      <c r="AR359" s="393" t="e">
        <f t="shared" si="147"/>
        <v>#DIV/0!</v>
      </c>
      <c r="AS359" s="393" t="e">
        <f t="shared" si="148"/>
        <v>#DIV/0!</v>
      </c>
      <c r="AT359" s="393" t="e">
        <f t="shared" si="149"/>
        <v>#DIV/0!</v>
      </c>
      <c r="AU359" s="393" t="e">
        <f t="shared" si="150"/>
        <v>#DIV/0!</v>
      </c>
      <c r="AV359" s="393" t="e">
        <f t="shared" si="151"/>
        <v>#DIV/0!</v>
      </c>
      <c r="AW359" s="393" t="e">
        <f t="shared" si="152"/>
        <v>#DIV/0!</v>
      </c>
      <c r="AX359" s="393" t="e">
        <f t="shared" si="153"/>
        <v>#DIV/0!</v>
      </c>
      <c r="AY359" s="393" t="e">
        <f t="shared" si="154"/>
        <v>#DIV/0!</v>
      </c>
      <c r="AZ359" s="393" t="e">
        <f t="shared" si="155"/>
        <v>#DIV/0!</v>
      </c>
      <c r="BA359" s="393" t="e">
        <f t="shared" si="156"/>
        <v>#DIV/0!</v>
      </c>
      <c r="BB359" s="393" t="e">
        <f t="shared" si="157"/>
        <v>#DIV/0!</v>
      </c>
    </row>
    <row r="360" spans="1:54" x14ac:dyDescent="0.25">
      <c r="A360" s="361" t="s">
        <v>1604</v>
      </c>
      <c r="B360" s="480"/>
      <c r="C360" s="480"/>
      <c r="D360" s="480"/>
      <c r="E360" s="480"/>
      <c r="F360" s="480"/>
      <c r="G360" s="480"/>
      <c r="H360" s="480"/>
      <c r="I360" s="480"/>
      <c r="J360" s="480"/>
      <c r="K360" s="480"/>
      <c r="L360" s="480"/>
      <c r="M360" s="480"/>
      <c r="N360" s="480"/>
      <c r="O360" s="480"/>
      <c r="P360" s="480"/>
      <c r="Q360" s="480"/>
      <c r="R360" s="480"/>
      <c r="S360" s="480">
        <f>1115/1800</f>
        <v>0.61939999999999995</v>
      </c>
      <c r="T360" s="480"/>
      <c r="U360" s="480"/>
      <c r="V360" s="480"/>
      <c r="W360" s="480"/>
      <c r="X360" s="480"/>
      <c r="Y360" s="480"/>
      <c r="Z360" s="480"/>
      <c r="AA360" s="480"/>
      <c r="AB360" s="480"/>
      <c r="AC360" s="393" t="e">
        <f t="shared" si="132"/>
        <v>#DIV/0!</v>
      </c>
      <c r="AD360" s="393" t="e">
        <f t="shared" si="133"/>
        <v>#DIV/0!</v>
      </c>
      <c r="AE360" s="393" t="e">
        <f t="shared" si="134"/>
        <v>#DIV/0!</v>
      </c>
      <c r="AF360" s="393" t="e">
        <f t="shared" si="135"/>
        <v>#DIV/0!</v>
      </c>
      <c r="AG360" s="393" t="e">
        <f t="shared" si="136"/>
        <v>#DIV/0!</v>
      </c>
      <c r="AH360" s="393" t="e">
        <f t="shared" si="137"/>
        <v>#DIV/0!</v>
      </c>
      <c r="AI360" s="393" t="e">
        <f t="shared" si="138"/>
        <v>#DIV/0!</v>
      </c>
      <c r="AJ360" s="393" t="e">
        <f t="shared" si="139"/>
        <v>#DIV/0!</v>
      </c>
      <c r="AK360" s="393" t="e">
        <f t="shared" si="140"/>
        <v>#DIV/0!</v>
      </c>
      <c r="AL360" s="393" t="e">
        <f t="shared" si="141"/>
        <v>#DIV/0!</v>
      </c>
      <c r="AM360" s="393" t="e">
        <f t="shared" si="142"/>
        <v>#DIV/0!</v>
      </c>
      <c r="AN360" s="393" t="e">
        <f t="shared" si="143"/>
        <v>#DIV/0!</v>
      </c>
      <c r="AO360" s="393" t="e">
        <f t="shared" si="144"/>
        <v>#DIV/0!</v>
      </c>
      <c r="AP360" s="393" t="e">
        <f t="shared" si="145"/>
        <v>#DIV/0!</v>
      </c>
      <c r="AQ360" s="393" t="e">
        <f t="shared" si="146"/>
        <v>#DIV/0!</v>
      </c>
      <c r="AR360" s="393" t="e">
        <f t="shared" si="147"/>
        <v>#DIV/0!</v>
      </c>
      <c r="AS360" s="393" t="e">
        <f t="shared" si="148"/>
        <v>#DIV/0!</v>
      </c>
      <c r="AT360" s="393">
        <f t="shared" si="149"/>
        <v>-100</v>
      </c>
      <c r="AU360" s="393" t="e">
        <f t="shared" si="150"/>
        <v>#DIV/0!</v>
      </c>
      <c r="AV360" s="393" t="e">
        <f t="shared" si="151"/>
        <v>#DIV/0!</v>
      </c>
      <c r="AW360" s="393" t="e">
        <f t="shared" si="152"/>
        <v>#DIV/0!</v>
      </c>
      <c r="AX360" s="393" t="e">
        <f t="shared" si="153"/>
        <v>#DIV/0!</v>
      </c>
      <c r="AY360" s="393" t="e">
        <f t="shared" si="154"/>
        <v>#DIV/0!</v>
      </c>
      <c r="AZ360" s="393" t="e">
        <f t="shared" si="155"/>
        <v>#DIV/0!</v>
      </c>
      <c r="BA360" s="393" t="e">
        <f t="shared" si="156"/>
        <v>#DIV/0!</v>
      </c>
      <c r="BB360" s="393" t="e">
        <f t="shared" si="157"/>
        <v>#DIV/0!</v>
      </c>
    </row>
    <row r="361" spans="1:54" x14ac:dyDescent="0.25">
      <c r="A361" s="361" t="s">
        <v>4018</v>
      </c>
      <c r="B361" s="480"/>
      <c r="C361" s="480"/>
      <c r="D361" s="480"/>
      <c r="E361" s="480">
        <f>877/1800</f>
        <v>0.48720000000000002</v>
      </c>
      <c r="F361" s="480">
        <f>642/1200</f>
        <v>0.53500000000000003</v>
      </c>
      <c r="G361" s="480"/>
      <c r="H361" s="480"/>
      <c r="I361" s="480"/>
      <c r="J361" s="480"/>
      <c r="K361" s="480"/>
      <c r="L361" s="480"/>
      <c r="M361" s="480"/>
      <c r="N361" s="480"/>
      <c r="O361" s="480"/>
      <c r="P361" s="480"/>
      <c r="Q361" s="480"/>
      <c r="R361" s="480"/>
      <c r="S361" s="480"/>
      <c r="T361" s="480">
        <f>794/1200</f>
        <v>0.66169999999999995</v>
      </c>
      <c r="U361" s="480">
        <f>1066/1800</f>
        <v>0.59219999999999995</v>
      </c>
      <c r="V361" s="480"/>
      <c r="W361" s="480"/>
      <c r="X361" s="480"/>
      <c r="Y361" s="480"/>
      <c r="Z361" s="480"/>
      <c r="AA361" s="480"/>
      <c r="AB361" s="480"/>
      <c r="AC361" s="393" t="e">
        <f t="shared" si="132"/>
        <v>#DIV/0!</v>
      </c>
      <c r="AD361" s="393" t="e">
        <f t="shared" si="133"/>
        <v>#DIV/0!</v>
      </c>
      <c r="AE361" s="393" t="e">
        <f t="shared" si="134"/>
        <v>#DIV/0!</v>
      </c>
      <c r="AF361" s="393">
        <f t="shared" si="135"/>
        <v>9.8109999999999999</v>
      </c>
      <c r="AG361" s="393">
        <f t="shared" si="136"/>
        <v>-100</v>
      </c>
      <c r="AH361" s="393" t="e">
        <f t="shared" si="137"/>
        <v>#DIV/0!</v>
      </c>
      <c r="AI361" s="393" t="e">
        <f t="shared" si="138"/>
        <v>#DIV/0!</v>
      </c>
      <c r="AJ361" s="393" t="e">
        <f t="shared" si="139"/>
        <v>#DIV/0!</v>
      </c>
      <c r="AK361" s="393" t="e">
        <f t="shared" si="140"/>
        <v>#DIV/0!</v>
      </c>
      <c r="AL361" s="393" t="e">
        <f t="shared" si="141"/>
        <v>#DIV/0!</v>
      </c>
      <c r="AM361" s="393" t="e">
        <f t="shared" si="142"/>
        <v>#DIV/0!</v>
      </c>
      <c r="AN361" s="393" t="e">
        <f t="shared" si="143"/>
        <v>#DIV/0!</v>
      </c>
      <c r="AO361" s="393" t="e">
        <f t="shared" si="144"/>
        <v>#DIV/0!</v>
      </c>
      <c r="AP361" s="393" t="e">
        <f t="shared" si="145"/>
        <v>#DIV/0!</v>
      </c>
      <c r="AQ361" s="393" t="e">
        <f t="shared" si="146"/>
        <v>#DIV/0!</v>
      </c>
      <c r="AR361" s="393" t="e">
        <f t="shared" si="147"/>
        <v>#DIV/0!</v>
      </c>
      <c r="AS361" s="393" t="e">
        <f t="shared" si="148"/>
        <v>#DIV/0!</v>
      </c>
      <c r="AT361" s="393" t="e">
        <f t="shared" si="149"/>
        <v>#DIV/0!</v>
      </c>
      <c r="AU361" s="393">
        <f t="shared" si="150"/>
        <v>-10.503</v>
      </c>
      <c r="AV361" s="393">
        <f t="shared" si="151"/>
        <v>-100</v>
      </c>
      <c r="AW361" s="393" t="e">
        <f t="shared" si="152"/>
        <v>#DIV/0!</v>
      </c>
      <c r="AX361" s="393" t="e">
        <f t="shared" si="153"/>
        <v>#DIV/0!</v>
      </c>
      <c r="AY361" s="393" t="e">
        <f t="shared" si="154"/>
        <v>#DIV/0!</v>
      </c>
      <c r="AZ361" s="393" t="e">
        <f t="shared" si="155"/>
        <v>#DIV/0!</v>
      </c>
      <c r="BA361" s="393" t="e">
        <f t="shared" si="156"/>
        <v>#DIV/0!</v>
      </c>
      <c r="BB361" s="393" t="e">
        <f t="shared" si="157"/>
        <v>#DIV/0!</v>
      </c>
    </row>
    <row r="362" spans="1:54" x14ac:dyDescent="0.25">
      <c r="A362" s="360" t="s">
        <v>4835</v>
      </c>
      <c r="B362" s="480"/>
      <c r="C362" s="480"/>
      <c r="D362" s="480"/>
      <c r="E362" s="480"/>
      <c r="F362" s="480"/>
      <c r="G362" s="480"/>
      <c r="H362" s="480"/>
      <c r="I362" s="480"/>
      <c r="J362" s="480"/>
      <c r="K362" s="480"/>
      <c r="L362" s="480"/>
      <c r="M362" s="480"/>
      <c r="N362" s="480"/>
      <c r="O362" s="480"/>
      <c r="P362" s="480"/>
      <c r="Q362" s="480"/>
      <c r="R362" s="480"/>
      <c r="S362" s="480"/>
      <c r="T362" s="480"/>
      <c r="U362" s="480"/>
      <c r="V362" s="480"/>
      <c r="W362" s="480"/>
      <c r="X362" s="480"/>
      <c r="Y362" s="480"/>
      <c r="Z362" s="480"/>
      <c r="AA362" s="480"/>
      <c r="AB362" s="480">
        <v>0.63100000000000001</v>
      </c>
      <c r="AC362" s="393" t="e">
        <f t="shared" si="132"/>
        <v>#DIV/0!</v>
      </c>
      <c r="AD362" s="393" t="e">
        <f t="shared" si="133"/>
        <v>#DIV/0!</v>
      </c>
      <c r="AE362" s="393" t="e">
        <f t="shared" si="134"/>
        <v>#DIV/0!</v>
      </c>
      <c r="AF362" s="393" t="e">
        <f t="shared" si="135"/>
        <v>#DIV/0!</v>
      </c>
      <c r="AG362" s="393" t="e">
        <f t="shared" si="136"/>
        <v>#DIV/0!</v>
      </c>
      <c r="AH362" s="393" t="e">
        <f t="shared" si="137"/>
        <v>#DIV/0!</v>
      </c>
      <c r="AI362" s="393" t="e">
        <f t="shared" si="138"/>
        <v>#DIV/0!</v>
      </c>
      <c r="AJ362" s="393" t="e">
        <f t="shared" si="139"/>
        <v>#DIV/0!</v>
      </c>
      <c r="AK362" s="393" t="e">
        <f t="shared" si="140"/>
        <v>#DIV/0!</v>
      </c>
      <c r="AL362" s="393" t="e">
        <f t="shared" si="141"/>
        <v>#DIV/0!</v>
      </c>
      <c r="AM362" s="393" t="e">
        <f t="shared" si="142"/>
        <v>#DIV/0!</v>
      </c>
      <c r="AN362" s="393" t="e">
        <f t="shared" si="143"/>
        <v>#DIV/0!</v>
      </c>
      <c r="AO362" s="393" t="e">
        <f t="shared" si="144"/>
        <v>#DIV/0!</v>
      </c>
      <c r="AP362" s="393" t="e">
        <f t="shared" si="145"/>
        <v>#DIV/0!</v>
      </c>
      <c r="AQ362" s="393" t="e">
        <f t="shared" si="146"/>
        <v>#DIV/0!</v>
      </c>
      <c r="AR362" s="393" t="e">
        <f t="shared" si="147"/>
        <v>#DIV/0!</v>
      </c>
      <c r="AS362" s="393" t="e">
        <f t="shared" si="148"/>
        <v>#DIV/0!</v>
      </c>
      <c r="AT362" s="393" t="e">
        <f t="shared" si="149"/>
        <v>#DIV/0!</v>
      </c>
      <c r="AU362" s="393" t="e">
        <f t="shared" si="150"/>
        <v>#DIV/0!</v>
      </c>
      <c r="AV362" s="393" t="e">
        <f t="shared" si="151"/>
        <v>#DIV/0!</v>
      </c>
      <c r="AW362" s="393" t="e">
        <f t="shared" si="152"/>
        <v>#DIV/0!</v>
      </c>
      <c r="AX362" s="393" t="e">
        <f t="shared" si="153"/>
        <v>#DIV/0!</v>
      </c>
      <c r="AY362" s="393" t="e">
        <f t="shared" si="154"/>
        <v>#DIV/0!</v>
      </c>
      <c r="AZ362" s="393" t="e">
        <f t="shared" si="155"/>
        <v>#DIV/0!</v>
      </c>
      <c r="BA362" s="393" t="e">
        <f t="shared" si="156"/>
        <v>#DIV/0!</v>
      </c>
      <c r="BB362" s="393" t="e">
        <f t="shared" si="157"/>
        <v>#DIV/0!</v>
      </c>
    </row>
    <row r="363" spans="1:54" x14ac:dyDescent="0.25">
      <c r="A363" s="360" t="s">
        <v>4841</v>
      </c>
      <c r="B363" s="480"/>
      <c r="C363" s="480"/>
      <c r="D363" s="480"/>
      <c r="E363" s="480"/>
      <c r="F363" s="480"/>
      <c r="G363" s="480"/>
      <c r="H363" s="480"/>
      <c r="I363" s="480"/>
      <c r="J363" s="480"/>
      <c r="K363" s="480"/>
      <c r="L363" s="480"/>
      <c r="M363" s="480"/>
      <c r="N363" s="480"/>
      <c r="O363" s="480"/>
      <c r="P363" s="480"/>
      <c r="Q363" s="480"/>
      <c r="R363" s="480"/>
      <c r="S363" s="480"/>
      <c r="T363" s="480"/>
      <c r="U363" s="480"/>
      <c r="V363" s="480"/>
      <c r="W363" s="480"/>
      <c r="X363" s="480"/>
      <c r="Y363" s="480"/>
      <c r="Z363" s="480"/>
      <c r="AA363" s="480"/>
      <c r="AB363" s="480">
        <v>0.59299999999999997</v>
      </c>
      <c r="AC363" s="393" t="e">
        <f t="shared" si="132"/>
        <v>#DIV/0!</v>
      </c>
      <c r="AD363" s="393" t="e">
        <f t="shared" si="133"/>
        <v>#DIV/0!</v>
      </c>
      <c r="AE363" s="393" t="e">
        <f t="shared" si="134"/>
        <v>#DIV/0!</v>
      </c>
      <c r="AF363" s="393" t="e">
        <f t="shared" si="135"/>
        <v>#DIV/0!</v>
      </c>
      <c r="AG363" s="393" t="e">
        <f t="shared" si="136"/>
        <v>#DIV/0!</v>
      </c>
      <c r="AH363" s="393" t="e">
        <f t="shared" si="137"/>
        <v>#DIV/0!</v>
      </c>
      <c r="AI363" s="393" t="e">
        <f t="shared" si="138"/>
        <v>#DIV/0!</v>
      </c>
      <c r="AJ363" s="393" t="e">
        <f t="shared" si="139"/>
        <v>#DIV/0!</v>
      </c>
      <c r="AK363" s="393" t="e">
        <f t="shared" si="140"/>
        <v>#DIV/0!</v>
      </c>
      <c r="AL363" s="393" t="e">
        <f t="shared" si="141"/>
        <v>#DIV/0!</v>
      </c>
      <c r="AM363" s="393" t="e">
        <f t="shared" si="142"/>
        <v>#DIV/0!</v>
      </c>
      <c r="AN363" s="393" t="e">
        <f t="shared" si="143"/>
        <v>#DIV/0!</v>
      </c>
      <c r="AO363" s="393" t="e">
        <f t="shared" si="144"/>
        <v>#DIV/0!</v>
      </c>
      <c r="AP363" s="393" t="e">
        <f t="shared" si="145"/>
        <v>#DIV/0!</v>
      </c>
      <c r="AQ363" s="393" t="e">
        <f t="shared" si="146"/>
        <v>#DIV/0!</v>
      </c>
      <c r="AR363" s="393" t="e">
        <f t="shared" si="147"/>
        <v>#DIV/0!</v>
      </c>
      <c r="AS363" s="393" t="e">
        <f t="shared" si="148"/>
        <v>#DIV/0!</v>
      </c>
      <c r="AT363" s="393" t="e">
        <f t="shared" si="149"/>
        <v>#DIV/0!</v>
      </c>
      <c r="AU363" s="393" t="e">
        <f t="shared" si="150"/>
        <v>#DIV/0!</v>
      </c>
      <c r="AV363" s="393" t="e">
        <f t="shared" si="151"/>
        <v>#DIV/0!</v>
      </c>
      <c r="AW363" s="393" t="e">
        <f t="shared" si="152"/>
        <v>#DIV/0!</v>
      </c>
      <c r="AX363" s="393" t="e">
        <f t="shared" si="153"/>
        <v>#DIV/0!</v>
      </c>
      <c r="AY363" s="393" t="e">
        <f t="shared" si="154"/>
        <v>#DIV/0!</v>
      </c>
      <c r="AZ363" s="393" t="e">
        <f t="shared" si="155"/>
        <v>#DIV/0!</v>
      </c>
      <c r="BA363" s="393" t="e">
        <f t="shared" si="156"/>
        <v>#DIV/0!</v>
      </c>
      <c r="BB363" s="393" t="e">
        <f t="shared" si="157"/>
        <v>#DIV/0!</v>
      </c>
    </row>
    <row r="364" spans="1:54" x14ac:dyDescent="0.25">
      <c r="A364" s="361" t="s">
        <v>4016</v>
      </c>
      <c r="B364" s="480"/>
      <c r="C364" s="480"/>
      <c r="D364" s="480"/>
      <c r="E364" s="480"/>
      <c r="F364" s="480"/>
      <c r="G364" s="480"/>
      <c r="H364" s="480"/>
      <c r="I364" s="480"/>
      <c r="J364" s="480"/>
      <c r="K364" s="480"/>
      <c r="L364" s="480"/>
      <c r="M364" s="480"/>
      <c r="N364" s="480"/>
      <c r="O364" s="480"/>
      <c r="P364" s="480"/>
      <c r="Q364" s="480"/>
      <c r="R364" s="480"/>
      <c r="S364" s="480"/>
      <c r="T364" s="480">
        <f>632/1200</f>
        <v>0.52669999999999995</v>
      </c>
      <c r="U364" s="480"/>
      <c r="V364" s="480"/>
      <c r="W364" s="480"/>
      <c r="X364" s="480"/>
      <c r="Y364" s="480"/>
      <c r="Z364" s="480"/>
      <c r="AA364" s="480"/>
      <c r="AB364" s="480"/>
      <c r="AC364" s="393" t="e">
        <f t="shared" si="132"/>
        <v>#DIV/0!</v>
      </c>
      <c r="AD364" s="393" t="e">
        <f t="shared" si="133"/>
        <v>#DIV/0!</v>
      </c>
      <c r="AE364" s="393" t="e">
        <f t="shared" si="134"/>
        <v>#DIV/0!</v>
      </c>
      <c r="AF364" s="393" t="e">
        <f t="shared" si="135"/>
        <v>#DIV/0!</v>
      </c>
      <c r="AG364" s="393" t="e">
        <f t="shared" si="136"/>
        <v>#DIV/0!</v>
      </c>
      <c r="AH364" s="393" t="e">
        <f t="shared" si="137"/>
        <v>#DIV/0!</v>
      </c>
      <c r="AI364" s="393" t="e">
        <f t="shared" si="138"/>
        <v>#DIV/0!</v>
      </c>
      <c r="AJ364" s="393" t="e">
        <f t="shared" si="139"/>
        <v>#DIV/0!</v>
      </c>
      <c r="AK364" s="393" t="e">
        <f t="shared" si="140"/>
        <v>#DIV/0!</v>
      </c>
      <c r="AL364" s="393" t="e">
        <f t="shared" si="141"/>
        <v>#DIV/0!</v>
      </c>
      <c r="AM364" s="393" t="e">
        <f t="shared" si="142"/>
        <v>#DIV/0!</v>
      </c>
      <c r="AN364" s="393" t="e">
        <f t="shared" si="143"/>
        <v>#DIV/0!</v>
      </c>
      <c r="AO364" s="393" t="e">
        <f t="shared" si="144"/>
        <v>#DIV/0!</v>
      </c>
      <c r="AP364" s="393" t="e">
        <f t="shared" si="145"/>
        <v>#DIV/0!</v>
      </c>
      <c r="AQ364" s="393" t="e">
        <f t="shared" si="146"/>
        <v>#DIV/0!</v>
      </c>
      <c r="AR364" s="393" t="e">
        <f t="shared" si="147"/>
        <v>#DIV/0!</v>
      </c>
      <c r="AS364" s="393" t="e">
        <f t="shared" si="148"/>
        <v>#DIV/0!</v>
      </c>
      <c r="AT364" s="393" t="e">
        <f t="shared" si="149"/>
        <v>#DIV/0!</v>
      </c>
      <c r="AU364" s="393">
        <f t="shared" si="150"/>
        <v>-100</v>
      </c>
      <c r="AV364" s="393" t="e">
        <f t="shared" si="151"/>
        <v>#DIV/0!</v>
      </c>
      <c r="AW364" s="393" t="e">
        <f t="shared" si="152"/>
        <v>#DIV/0!</v>
      </c>
      <c r="AX364" s="393" t="e">
        <f t="shared" si="153"/>
        <v>#DIV/0!</v>
      </c>
      <c r="AY364" s="393" t="e">
        <f t="shared" si="154"/>
        <v>#DIV/0!</v>
      </c>
      <c r="AZ364" s="393" t="e">
        <f t="shared" si="155"/>
        <v>#DIV/0!</v>
      </c>
      <c r="BA364" s="393" t="e">
        <f t="shared" si="156"/>
        <v>#DIV/0!</v>
      </c>
      <c r="BB364" s="393" t="e">
        <f t="shared" si="157"/>
        <v>#DIV/0!</v>
      </c>
    </row>
    <row r="365" spans="1:54" x14ac:dyDescent="0.25">
      <c r="A365" s="360" t="s">
        <v>4389</v>
      </c>
      <c r="B365" s="480"/>
      <c r="C365" s="480"/>
      <c r="D365" s="480"/>
      <c r="E365" s="480"/>
      <c r="F365" s="480"/>
      <c r="G365" s="480"/>
      <c r="H365" s="480"/>
      <c r="I365" s="480"/>
      <c r="J365" s="480"/>
      <c r="K365" s="480"/>
      <c r="L365" s="480"/>
      <c r="M365" s="480"/>
      <c r="N365" s="480"/>
      <c r="O365" s="480"/>
      <c r="P365" s="480"/>
      <c r="Q365" s="480"/>
      <c r="R365" s="480"/>
      <c r="S365" s="480"/>
      <c r="T365" s="480"/>
      <c r="U365" s="480"/>
      <c r="V365" s="480"/>
      <c r="W365" s="480"/>
      <c r="X365" s="480"/>
      <c r="Y365" s="480">
        <f>937/1800</f>
        <v>0.52059999999999995</v>
      </c>
      <c r="Z365" s="480"/>
      <c r="AA365" s="480"/>
      <c r="AB365" s="480"/>
      <c r="AC365" s="393" t="e">
        <f t="shared" si="132"/>
        <v>#DIV/0!</v>
      </c>
      <c r="AD365" s="393" t="e">
        <f t="shared" si="133"/>
        <v>#DIV/0!</v>
      </c>
      <c r="AE365" s="393" t="e">
        <f t="shared" si="134"/>
        <v>#DIV/0!</v>
      </c>
      <c r="AF365" s="393" t="e">
        <f t="shared" si="135"/>
        <v>#DIV/0!</v>
      </c>
      <c r="AG365" s="393" t="e">
        <f t="shared" si="136"/>
        <v>#DIV/0!</v>
      </c>
      <c r="AH365" s="393" t="e">
        <f t="shared" si="137"/>
        <v>#DIV/0!</v>
      </c>
      <c r="AI365" s="393" t="e">
        <f t="shared" si="138"/>
        <v>#DIV/0!</v>
      </c>
      <c r="AJ365" s="393" t="e">
        <f t="shared" si="139"/>
        <v>#DIV/0!</v>
      </c>
      <c r="AK365" s="393" t="e">
        <f t="shared" si="140"/>
        <v>#DIV/0!</v>
      </c>
      <c r="AL365" s="393" t="e">
        <f t="shared" si="141"/>
        <v>#DIV/0!</v>
      </c>
      <c r="AM365" s="393" t="e">
        <f t="shared" si="142"/>
        <v>#DIV/0!</v>
      </c>
      <c r="AN365" s="393" t="e">
        <f t="shared" si="143"/>
        <v>#DIV/0!</v>
      </c>
      <c r="AO365" s="393" t="e">
        <f t="shared" si="144"/>
        <v>#DIV/0!</v>
      </c>
      <c r="AP365" s="393" t="e">
        <f t="shared" si="145"/>
        <v>#DIV/0!</v>
      </c>
      <c r="AQ365" s="393" t="e">
        <f t="shared" si="146"/>
        <v>#DIV/0!</v>
      </c>
      <c r="AR365" s="393" t="e">
        <f t="shared" si="147"/>
        <v>#DIV/0!</v>
      </c>
      <c r="AS365" s="393" t="e">
        <f t="shared" si="148"/>
        <v>#DIV/0!</v>
      </c>
      <c r="AT365" s="393" t="e">
        <f t="shared" si="149"/>
        <v>#DIV/0!</v>
      </c>
      <c r="AU365" s="393" t="e">
        <f t="shared" si="150"/>
        <v>#DIV/0!</v>
      </c>
      <c r="AV365" s="393" t="e">
        <f t="shared" si="151"/>
        <v>#DIV/0!</v>
      </c>
      <c r="AW365" s="393" t="e">
        <f t="shared" si="152"/>
        <v>#DIV/0!</v>
      </c>
      <c r="AX365" s="393" t="e">
        <f t="shared" si="153"/>
        <v>#DIV/0!</v>
      </c>
      <c r="AY365" s="393" t="e">
        <f t="shared" si="154"/>
        <v>#DIV/0!</v>
      </c>
      <c r="AZ365" s="393">
        <f t="shared" si="155"/>
        <v>-100</v>
      </c>
      <c r="BA365" s="393" t="e">
        <f t="shared" si="156"/>
        <v>#DIV/0!</v>
      </c>
      <c r="BB365" s="393" t="e">
        <f t="shared" si="157"/>
        <v>#DIV/0!</v>
      </c>
    </row>
    <row r="366" spans="1:54" x14ac:dyDescent="0.25">
      <c r="A366" s="361" t="s">
        <v>2338</v>
      </c>
      <c r="B366" s="480"/>
      <c r="C366" s="480"/>
      <c r="D366" s="480"/>
      <c r="E366" s="480"/>
      <c r="F366" s="480"/>
      <c r="G366" s="480"/>
      <c r="H366" s="480"/>
      <c r="I366" s="480"/>
      <c r="J366" s="480"/>
      <c r="K366" s="480"/>
      <c r="L366" s="480"/>
      <c r="M366" s="480"/>
      <c r="N366" s="480"/>
      <c r="O366" s="480"/>
      <c r="P366" s="480"/>
      <c r="Q366" s="480">
        <f>944/1800</f>
        <v>0.52439999999999998</v>
      </c>
      <c r="R366" s="480"/>
      <c r="S366" s="480"/>
      <c r="T366" s="480"/>
      <c r="U366" s="480"/>
      <c r="V366" s="480"/>
      <c r="W366" s="480"/>
      <c r="X366" s="480"/>
      <c r="Y366" s="480"/>
      <c r="Z366" s="480"/>
      <c r="AA366" s="480"/>
      <c r="AB366" s="480"/>
      <c r="AC366" s="393" t="e">
        <f t="shared" si="132"/>
        <v>#DIV/0!</v>
      </c>
      <c r="AD366" s="393" t="e">
        <f t="shared" si="133"/>
        <v>#DIV/0!</v>
      </c>
      <c r="AE366" s="393" t="e">
        <f t="shared" si="134"/>
        <v>#DIV/0!</v>
      </c>
      <c r="AF366" s="393" t="e">
        <f t="shared" si="135"/>
        <v>#DIV/0!</v>
      </c>
      <c r="AG366" s="393" t="e">
        <f t="shared" si="136"/>
        <v>#DIV/0!</v>
      </c>
      <c r="AH366" s="393" t="e">
        <f t="shared" si="137"/>
        <v>#DIV/0!</v>
      </c>
      <c r="AI366" s="393" t="e">
        <f t="shared" si="138"/>
        <v>#DIV/0!</v>
      </c>
      <c r="AJ366" s="393" t="e">
        <f t="shared" si="139"/>
        <v>#DIV/0!</v>
      </c>
      <c r="AK366" s="393" t="e">
        <f t="shared" si="140"/>
        <v>#DIV/0!</v>
      </c>
      <c r="AL366" s="393" t="e">
        <f t="shared" si="141"/>
        <v>#DIV/0!</v>
      </c>
      <c r="AM366" s="393" t="e">
        <f t="shared" si="142"/>
        <v>#DIV/0!</v>
      </c>
      <c r="AN366" s="393" t="e">
        <f t="shared" si="143"/>
        <v>#DIV/0!</v>
      </c>
      <c r="AO366" s="393" t="e">
        <f t="shared" si="144"/>
        <v>#DIV/0!</v>
      </c>
      <c r="AP366" s="393" t="e">
        <f t="shared" si="145"/>
        <v>#DIV/0!</v>
      </c>
      <c r="AQ366" s="393" t="e">
        <f t="shared" si="146"/>
        <v>#DIV/0!</v>
      </c>
      <c r="AR366" s="393">
        <f t="shared" si="147"/>
        <v>-100</v>
      </c>
      <c r="AS366" s="393" t="e">
        <f t="shared" si="148"/>
        <v>#DIV/0!</v>
      </c>
      <c r="AT366" s="393" t="e">
        <f t="shared" si="149"/>
        <v>#DIV/0!</v>
      </c>
      <c r="AU366" s="393" t="e">
        <f t="shared" si="150"/>
        <v>#DIV/0!</v>
      </c>
      <c r="AV366" s="393" t="e">
        <f t="shared" si="151"/>
        <v>#DIV/0!</v>
      </c>
      <c r="AW366" s="393" t="e">
        <f t="shared" si="152"/>
        <v>#DIV/0!</v>
      </c>
      <c r="AX366" s="393" t="e">
        <f t="shared" si="153"/>
        <v>#DIV/0!</v>
      </c>
      <c r="AY366" s="393" t="e">
        <f t="shared" si="154"/>
        <v>#DIV/0!</v>
      </c>
      <c r="AZ366" s="393" t="e">
        <f t="shared" si="155"/>
        <v>#DIV/0!</v>
      </c>
      <c r="BA366" s="393" t="e">
        <f t="shared" si="156"/>
        <v>#DIV/0!</v>
      </c>
      <c r="BB366" s="393" t="e">
        <f t="shared" si="157"/>
        <v>#DIV/0!</v>
      </c>
    </row>
    <row r="367" spans="1:54" x14ac:dyDescent="0.25">
      <c r="A367" s="360" t="s">
        <v>2623</v>
      </c>
      <c r="B367" s="480"/>
      <c r="C367" s="480"/>
      <c r="D367" s="480"/>
      <c r="E367" s="480"/>
      <c r="F367" s="480"/>
      <c r="G367" s="480"/>
      <c r="H367" s="480">
        <f>694/1200</f>
        <v>0.57830000000000004</v>
      </c>
      <c r="I367" s="480"/>
      <c r="J367" s="480"/>
      <c r="K367" s="480"/>
      <c r="L367" s="480"/>
      <c r="M367" s="480"/>
      <c r="N367" s="480"/>
      <c r="O367" s="480"/>
      <c r="P367" s="480"/>
      <c r="Q367" s="480"/>
      <c r="R367" s="480"/>
      <c r="S367" s="480"/>
      <c r="T367" s="480"/>
      <c r="U367" s="480"/>
      <c r="V367" s="480"/>
      <c r="W367" s="480"/>
      <c r="X367" s="480"/>
      <c r="Y367" s="480"/>
      <c r="Z367" s="480"/>
      <c r="AA367" s="480"/>
      <c r="AB367" s="480"/>
      <c r="AC367" s="393" t="e">
        <f t="shared" si="132"/>
        <v>#DIV/0!</v>
      </c>
      <c r="AD367" s="393" t="e">
        <f t="shared" si="133"/>
        <v>#DIV/0!</v>
      </c>
      <c r="AE367" s="393" t="e">
        <f t="shared" si="134"/>
        <v>#DIV/0!</v>
      </c>
      <c r="AF367" s="393" t="e">
        <f t="shared" si="135"/>
        <v>#DIV/0!</v>
      </c>
      <c r="AG367" s="393" t="e">
        <f t="shared" si="136"/>
        <v>#DIV/0!</v>
      </c>
      <c r="AH367" s="393" t="e">
        <f t="shared" si="137"/>
        <v>#DIV/0!</v>
      </c>
      <c r="AI367" s="393">
        <f t="shared" si="138"/>
        <v>-100</v>
      </c>
      <c r="AJ367" s="393" t="e">
        <f t="shared" si="139"/>
        <v>#DIV/0!</v>
      </c>
      <c r="AK367" s="393" t="e">
        <f t="shared" si="140"/>
        <v>#DIV/0!</v>
      </c>
      <c r="AL367" s="393" t="e">
        <f t="shared" si="141"/>
        <v>#DIV/0!</v>
      </c>
      <c r="AM367" s="393" t="e">
        <f t="shared" si="142"/>
        <v>#DIV/0!</v>
      </c>
      <c r="AN367" s="393" t="e">
        <f t="shared" si="143"/>
        <v>#DIV/0!</v>
      </c>
      <c r="AO367" s="393" t="e">
        <f t="shared" si="144"/>
        <v>#DIV/0!</v>
      </c>
      <c r="AP367" s="393" t="e">
        <f t="shared" si="145"/>
        <v>#DIV/0!</v>
      </c>
      <c r="AQ367" s="393" t="e">
        <f t="shared" si="146"/>
        <v>#DIV/0!</v>
      </c>
      <c r="AR367" s="393" t="e">
        <f t="shared" si="147"/>
        <v>#DIV/0!</v>
      </c>
      <c r="AS367" s="393" t="e">
        <f t="shared" si="148"/>
        <v>#DIV/0!</v>
      </c>
      <c r="AT367" s="393" t="e">
        <f t="shared" si="149"/>
        <v>#DIV/0!</v>
      </c>
      <c r="AU367" s="393" t="e">
        <f t="shared" si="150"/>
        <v>#DIV/0!</v>
      </c>
      <c r="AV367" s="393" t="e">
        <f t="shared" si="151"/>
        <v>#DIV/0!</v>
      </c>
      <c r="AW367" s="393" t="e">
        <f t="shared" si="152"/>
        <v>#DIV/0!</v>
      </c>
      <c r="AX367" s="393" t="e">
        <f t="shared" si="153"/>
        <v>#DIV/0!</v>
      </c>
      <c r="AY367" s="393" t="e">
        <f t="shared" si="154"/>
        <v>#DIV/0!</v>
      </c>
      <c r="AZ367" s="393" t="e">
        <f t="shared" si="155"/>
        <v>#DIV/0!</v>
      </c>
      <c r="BA367" s="393" t="e">
        <f t="shared" si="156"/>
        <v>#DIV/0!</v>
      </c>
      <c r="BB367" s="393" t="e">
        <f t="shared" si="157"/>
        <v>#DIV/0!</v>
      </c>
    </row>
    <row r="368" spans="1:54" x14ac:dyDescent="0.25">
      <c r="A368" s="361" t="s">
        <v>2342</v>
      </c>
      <c r="B368" s="480"/>
      <c r="C368" s="480"/>
      <c r="D368" s="480"/>
      <c r="E368" s="480"/>
      <c r="F368" s="480"/>
      <c r="G368" s="480"/>
      <c r="H368" s="480"/>
      <c r="I368" s="480"/>
      <c r="J368" s="480"/>
      <c r="K368" s="480"/>
      <c r="L368" s="480"/>
      <c r="M368" s="480"/>
      <c r="N368" s="480"/>
      <c r="O368" s="480"/>
      <c r="P368" s="480"/>
      <c r="Q368" s="480"/>
      <c r="R368" s="480"/>
      <c r="S368" s="480"/>
      <c r="T368" s="480"/>
      <c r="U368" s="480">
        <f>1340/1800</f>
        <v>0.74439999999999995</v>
      </c>
      <c r="V368" s="480"/>
      <c r="W368" s="480"/>
      <c r="X368" s="480"/>
      <c r="Y368" s="480"/>
      <c r="Z368" s="480"/>
      <c r="AA368" s="480"/>
      <c r="AB368" s="480"/>
      <c r="AC368" s="393" t="e">
        <f t="shared" si="132"/>
        <v>#DIV/0!</v>
      </c>
      <c r="AD368" s="393" t="e">
        <f t="shared" si="133"/>
        <v>#DIV/0!</v>
      </c>
      <c r="AE368" s="393" t="e">
        <f t="shared" si="134"/>
        <v>#DIV/0!</v>
      </c>
      <c r="AF368" s="393" t="e">
        <f t="shared" si="135"/>
        <v>#DIV/0!</v>
      </c>
      <c r="AG368" s="393" t="e">
        <f t="shared" si="136"/>
        <v>#DIV/0!</v>
      </c>
      <c r="AH368" s="393" t="e">
        <f t="shared" si="137"/>
        <v>#DIV/0!</v>
      </c>
      <c r="AI368" s="393" t="e">
        <f t="shared" si="138"/>
        <v>#DIV/0!</v>
      </c>
      <c r="AJ368" s="393" t="e">
        <f t="shared" si="139"/>
        <v>#DIV/0!</v>
      </c>
      <c r="AK368" s="393" t="e">
        <f t="shared" si="140"/>
        <v>#DIV/0!</v>
      </c>
      <c r="AL368" s="393" t="e">
        <f t="shared" si="141"/>
        <v>#DIV/0!</v>
      </c>
      <c r="AM368" s="393" t="e">
        <f t="shared" si="142"/>
        <v>#DIV/0!</v>
      </c>
      <c r="AN368" s="393" t="e">
        <f t="shared" si="143"/>
        <v>#DIV/0!</v>
      </c>
      <c r="AO368" s="393" t="e">
        <f t="shared" si="144"/>
        <v>#DIV/0!</v>
      </c>
      <c r="AP368" s="393" t="e">
        <f t="shared" si="145"/>
        <v>#DIV/0!</v>
      </c>
      <c r="AQ368" s="393" t="e">
        <f t="shared" si="146"/>
        <v>#DIV/0!</v>
      </c>
      <c r="AR368" s="393" t="e">
        <f t="shared" si="147"/>
        <v>#DIV/0!</v>
      </c>
      <c r="AS368" s="393" t="e">
        <f t="shared" si="148"/>
        <v>#DIV/0!</v>
      </c>
      <c r="AT368" s="393" t="e">
        <f t="shared" si="149"/>
        <v>#DIV/0!</v>
      </c>
      <c r="AU368" s="393" t="e">
        <f t="shared" si="150"/>
        <v>#DIV/0!</v>
      </c>
      <c r="AV368" s="393">
        <f t="shared" si="151"/>
        <v>-100</v>
      </c>
      <c r="AW368" s="393" t="e">
        <f t="shared" si="152"/>
        <v>#DIV/0!</v>
      </c>
      <c r="AX368" s="393" t="e">
        <f t="shared" si="153"/>
        <v>#DIV/0!</v>
      </c>
      <c r="AY368" s="393" t="e">
        <f t="shared" si="154"/>
        <v>#DIV/0!</v>
      </c>
      <c r="AZ368" s="393" t="e">
        <f t="shared" si="155"/>
        <v>#DIV/0!</v>
      </c>
      <c r="BA368" s="393" t="e">
        <f t="shared" si="156"/>
        <v>#DIV/0!</v>
      </c>
      <c r="BB368" s="393" t="e">
        <f t="shared" si="157"/>
        <v>#DIV/0!</v>
      </c>
    </row>
    <row r="369" spans="1:54" x14ac:dyDescent="0.25">
      <c r="A369" s="360" t="s">
        <v>4370</v>
      </c>
      <c r="B369" s="480"/>
      <c r="C369" s="480"/>
      <c r="D369" s="480"/>
      <c r="E369" s="480"/>
      <c r="F369" s="480"/>
      <c r="G369" s="480"/>
      <c r="H369" s="480"/>
      <c r="I369" s="480"/>
      <c r="J369" s="480"/>
      <c r="K369" s="480"/>
      <c r="L369" s="480"/>
      <c r="M369" s="480"/>
      <c r="N369" s="480"/>
      <c r="O369" s="480"/>
      <c r="P369" s="480"/>
      <c r="Q369" s="480"/>
      <c r="R369" s="480"/>
      <c r="S369" s="480"/>
      <c r="T369" s="480"/>
      <c r="U369" s="480"/>
      <c r="V369" s="480"/>
      <c r="W369" s="480"/>
      <c r="X369" s="480"/>
      <c r="Y369" s="480">
        <f>1081/1800</f>
        <v>0.60060000000000002</v>
      </c>
      <c r="Z369" s="480"/>
      <c r="AA369" s="480"/>
      <c r="AB369" s="480"/>
      <c r="AC369" s="393" t="e">
        <f t="shared" si="132"/>
        <v>#DIV/0!</v>
      </c>
      <c r="AD369" s="393" t="e">
        <f t="shared" si="133"/>
        <v>#DIV/0!</v>
      </c>
      <c r="AE369" s="393" t="e">
        <f t="shared" si="134"/>
        <v>#DIV/0!</v>
      </c>
      <c r="AF369" s="393" t="e">
        <f t="shared" si="135"/>
        <v>#DIV/0!</v>
      </c>
      <c r="AG369" s="393" t="e">
        <f t="shared" si="136"/>
        <v>#DIV/0!</v>
      </c>
      <c r="AH369" s="393" t="e">
        <f t="shared" si="137"/>
        <v>#DIV/0!</v>
      </c>
      <c r="AI369" s="393" t="e">
        <f t="shared" si="138"/>
        <v>#DIV/0!</v>
      </c>
      <c r="AJ369" s="393" t="e">
        <f t="shared" si="139"/>
        <v>#DIV/0!</v>
      </c>
      <c r="AK369" s="393" t="e">
        <f t="shared" si="140"/>
        <v>#DIV/0!</v>
      </c>
      <c r="AL369" s="393" t="e">
        <f t="shared" si="141"/>
        <v>#DIV/0!</v>
      </c>
      <c r="AM369" s="393" t="e">
        <f t="shared" si="142"/>
        <v>#DIV/0!</v>
      </c>
      <c r="AN369" s="393" t="e">
        <f t="shared" si="143"/>
        <v>#DIV/0!</v>
      </c>
      <c r="AO369" s="393" t="e">
        <f t="shared" si="144"/>
        <v>#DIV/0!</v>
      </c>
      <c r="AP369" s="393" t="e">
        <f t="shared" si="145"/>
        <v>#DIV/0!</v>
      </c>
      <c r="AQ369" s="393" t="e">
        <f t="shared" si="146"/>
        <v>#DIV/0!</v>
      </c>
      <c r="AR369" s="393" t="e">
        <f t="shared" si="147"/>
        <v>#DIV/0!</v>
      </c>
      <c r="AS369" s="393" t="e">
        <f t="shared" si="148"/>
        <v>#DIV/0!</v>
      </c>
      <c r="AT369" s="393" t="e">
        <f t="shared" si="149"/>
        <v>#DIV/0!</v>
      </c>
      <c r="AU369" s="393" t="e">
        <f t="shared" si="150"/>
        <v>#DIV/0!</v>
      </c>
      <c r="AV369" s="393" t="e">
        <f t="shared" si="151"/>
        <v>#DIV/0!</v>
      </c>
      <c r="AW369" s="393" t="e">
        <f t="shared" si="152"/>
        <v>#DIV/0!</v>
      </c>
      <c r="AX369" s="393" t="e">
        <f t="shared" si="153"/>
        <v>#DIV/0!</v>
      </c>
      <c r="AY369" s="393" t="e">
        <f t="shared" si="154"/>
        <v>#DIV/0!</v>
      </c>
      <c r="AZ369" s="393">
        <f t="shared" si="155"/>
        <v>-100</v>
      </c>
      <c r="BA369" s="393" t="e">
        <f t="shared" si="156"/>
        <v>#DIV/0!</v>
      </c>
      <c r="BB369" s="393" t="e">
        <f t="shared" si="157"/>
        <v>#DIV/0!</v>
      </c>
    </row>
    <row r="370" spans="1:54" x14ac:dyDescent="0.25">
      <c r="A370" s="361" t="s">
        <v>966</v>
      </c>
      <c r="B370" s="480"/>
      <c r="C370" s="480"/>
      <c r="D370" s="480"/>
      <c r="E370" s="480"/>
      <c r="F370" s="480"/>
      <c r="G370" s="480"/>
      <c r="H370" s="480"/>
      <c r="I370" s="480"/>
      <c r="J370" s="480"/>
      <c r="K370" s="480"/>
      <c r="L370" s="480"/>
      <c r="M370" s="480"/>
      <c r="N370" s="480"/>
      <c r="O370" s="480"/>
      <c r="P370" s="480"/>
      <c r="Q370" s="480"/>
      <c r="R370" s="480"/>
      <c r="S370" s="480"/>
      <c r="T370" s="480"/>
      <c r="U370" s="480"/>
      <c r="V370" s="480"/>
      <c r="W370" s="480">
        <f>778/1200</f>
        <v>0.64829999999999999</v>
      </c>
      <c r="X370" s="480"/>
      <c r="Y370" s="480"/>
      <c r="Z370" s="480"/>
      <c r="AA370" s="480"/>
      <c r="AB370" s="480"/>
      <c r="AC370" s="393" t="e">
        <f t="shared" si="132"/>
        <v>#DIV/0!</v>
      </c>
      <c r="AD370" s="393" t="e">
        <f t="shared" si="133"/>
        <v>#DIV/0!</v>
      </c>
      <c r="AE370" s="393" t="e">
        <f t="shared" si="134"/>
        <v>#DIV/0!</v>
      </c>
      <c r="AF370" s="393" t="e">
        <f t="shared" si="135"/>
        <v>#DIV/0!</v>
      </c>
      <c r="AG370" s="393" t="e">
        <f t="shared" si="136"/>
        <v>#DIV/0!</v>
      </c>
      <c r="AH370" s="393" t="e">
        <f t="shared" si="137"/>
        <v>#DIV/0!</v>
      </c>
      <c r="AI370" s="393" t="e">
        <f t="shared" si="138"/>
        <v>#DIV/0!</v>
      </c>
      <c r="AJ370" s="393" t="e">
        <f t="shared" si="139"/>
        <v>#DIV/0!</v>
      </c>
      <c r="AK370" s="393" t="e">
        <f t="shared" si="140"/>
        <v>#DIV/0!</v>
      </c>
      <c r="AL370" s="393" t="e">
        <f t="shared" si="141"/>
        <v>#DIV/0!</v>
      </c>
      <c r="AM370" s="393" t="e">
        <f t="shared" si="142"/>
        <v>#DIV/0!</v>
      </c>
      <c r="AN370" s="393" t="e">
        <f t="shared" si="143"/>
        <v>#DIV/0!</v>
      </c>
      <c r="AO370" s="393" t="e">
        <f t="shared" si="144"/>
        <v>#DIV/0!</v>
      </c>
      <c r="AP370" s="393" t="e">
        <f t="shared" si="145"/>
        <v>#DIV/0!</v>
      </c>
      <c r="AQ370" s="393" t="e">
        <f t="shared" si="146"/>
        <v>#DIV/0!</v>
      </c>
      <c r="AR370" s="393" t="e">
        <f t="shared" si="147"/>
        <v>#DIV/0!</v>
      </c>
      <c r="AS370" s="393" t="e">
        <f t="shared" si="148"/>
        <v>#DIV/0!</v>
      </c>
      <c r="AT370" s="393" t="e">
        <f t="shared" si="149"/>
        <v>#DIV/0!</v>
      </c>
      <c r="AU370" s="393" t="e">
        <f t="shared" si="150"/>
        <v>#DIV/0!</v>
      </c>
      <c r="AV370" s="393" t="e">
        <f t="shared" si="151"/>
        <v>#DIV/0!</v>
      </c>
      <c r="AW370" s="393" t="e">
        <f t="shared" si="152"/>
        <v>#DIV/0!</v>
      </c>
      <c r="AX370" s="393">
        <f t="shared" si="153"/>
        <v>-100</v>
      </c>
      <c r="AY370" s="393" t="e">
        <f t="shared" si="154"/>
        <v>#DIV/0!</v>
      </c>
      <c r="AZ370" s="393" t="e">
        <f t="shared" si="155"/>
        <v>#DIV/0!</v>
      </c>
      <c r="BA370" s="393" t="e">
        <f t="shared" si="156"/>
        <v>#DIV/0!</v>
      </c>
      <c r="BB370" s="393" t="e">
        <f t="shared" si="157"/>
        <v>#DIV/0!</v>
      </c>
    </row>
    <row r="371" spans="1:54" x14ac:dyDescent="0.25">
      <c r="A371" s="565" t="s">
        <v>3111</v>
      </c>
      <c r="B371" s="480"/>
      <c r="C371" s="480">
        <f>1015/1800</f>
        <v>0.56389999999999996</v>
      </c>
      <c r="D371" s="480">
        <f>1079/1800</f>
        <v>0.59940000000000004</v>
      </c>
      <c r="E371" s="480"/>
      <c r="F371" s="480"/>
      <c r="G371" s="480"/>
      <c r="H371" s="480"/>
      <c r="I371" s="480"/>
      <c r="J371" s="480"/>
      <c r="K371" s="480"/>
      <c r="L371" s="480"/>
      <c r="M371" s="480"/>
      <c r="N371" s="480"/>
      <c r="O371" s="480"/>
      <c r="P371" s="480"/>
      <c r="Q371" s="480"/>
      <c r="R371" s="480"/>
      <c r="S371" s="480"/>
      <c r="T371" s="480"/>
      <c r="U371" s="480"/>
      <c r="V371" s="480"/>
      <c r="W371" s="480"/>
      <c r="X371" s="480"/>
      <c r="Y371" s="480"/>
      <c r="Z371" s="480"/>
      <c r="AA371" s="480"/>
      <c r="AB371" s="480"/>
      <c r="AC371" s="393" t="e">
        <f t="shared" si="132"/>
        <v>#DIV/0!</v>
      </c>
      <c r="AD371" s="393">
        <f t="shared" si="133"/>
        <v>6.2949999999999999</v>
      </c>
      <c r="AE371" s="393">
        <f t="shared" si="134"/>
        <v>-100</v>
      </c>
      <c r="AF371" s="393" t="e">
        <f t="shared" si="135"/>
        <v>#DIV/0!</v>
      </c>
      <c r="AG371" s="393" t="e">
        <f t="shared" si="136"/>
        <v>#DIV/0!</v>
      </c>
      <c r="AH371" s="393" t="e">
        <f t="shared" si="137"/>
        <v>#DIV/0!</v>
      </c>
      <c r="AI371" s="393" t="e">
        <f t="shared" si="138"/>
        <v>#DIV/0!</v>
      </c>
      <c r="AJ371" s="393" t="e">
        <f t="shared" si="139"/>
        <v>#DIV/0!</v>
      </c>
      <c r="AK371" s="393" t="e">
        <f t="shared" si="140"/>
        <v>#DIV/0!</v>
      </c>
      <c r="AL371" s="393" t="e">
        <f t="shared" si="141"/>
        <v>#DIV/0!</v>
      </c>
      <c r="AM371" s="393" t="e">
        <f t="shared" si="142"/>
        <v>#DIV/0!</v>
      </c>
      <c r="AN371" s="393" t="e">
        <f t="shared" si="143"/>
        <v>#DIV/0!</v>
      </c>
      <c r="AO371" s="393" t="e">
        <f t="shared" si="144"/>
        <v>#DIV/0!</v>
      </c>
      <c r="AP371" s="393" t="e">
        <f t="shared" si="145"/>
        <v>#DIV/0!</v>
      </c>
      <c r="AQ371" s="393" t="e">
        <f t="shared" si="146"/>
        <v>#DIV/0!</v>
      </c>
      <c r="AR371" s="393" t="e">
        <f t="shared" si="147"/>
        <v>#DIV/0!</v>
      </c>
      <c r="AS371" s="393" t="e">
        <f t="shared" si="148"/>
        <v>#DIV/0!</v>
      </c>
      <c r="AT371" s="393" t="e">
        <f t="shared" si="149"/>
        <v>#DIV/0!</v>
      </c>
      <c r="AU371" s="393" t="e">
        <f t="shared" si="150"/>
        <v>#DIV/0!</v>
      </c>
      <c r="AV371" s="393" t="e">
        <f t="shared" si="151"/>
        <v>#DIV/0!</v>
      </c>
      <c r="AW371" s="393" t="e">
        <f t="shared" si="152"/>
        <v>#DIV/0!</v>
      </c>
      <c r="AX371" s="393" t="e">
        <f t="shared" si="153"/>
        <v>#DIV/0!</v>
      </c>
      <c r="AY371" s="393" t="e">
        <f t="shared" si="154"/>
        <v>#DIV/0!</v>
      </c>
      <c r="AZ371" s="393" t="e">
        <f t="shared" si="155"/>
        <v>#DIV/0!</v>
      </c>
      <c r="BA371" s="393" t="e">
        <f t="shared" si="156"/>
        <v>#DIV/0!</v>
      </c>
      <c r="BB371" s="393" t="e">
        <f t="shared" si="157"/>
        <v>#DIV/0!</v>
      </c>
    </row>
    <row r="372" spans="1:54" x14ac:dyDescent="0.25">
      <c r="A372" s="355" t="s">
        <v>3999</v>
      </c>
      <c r="B372" s="480"/>
      <c r="C372" s="480"/>
      <c r="D372" s="480"/>
      <c r="E372" s="480"/>
      <c r="F372" s="480"/>
      <c r="G372" s="480"/>
      <c r="H372" s="480"/>
      <c r="I372" s="480"/>
      <c r="J372" s="480"/>
      <c r="K372" s="480"/>
      <c r="L372" s="480"/>
      <c r="M372" s="480"/>
      <c r="N372" s="480"/>
      <c r="O372" s="480"/>
      <c r="P372" s="480"/>
      <c r="Q372" s="480"/>
      <c r="R372" s="480"/>
      <c r="S372" s="480"/>
      <c r="T372" s="480">
        <f>751/1200</f>
        <v>0.62580000000000002</v>
      </c>
      <c r="U372" s="480">
        <f>1170/1800</f>
        <v>0.65</v>
      </c>
      <c r="V372" s="480">
        <f>776/1200</f>
        <v>0.64670000000000005</v>
      </c>
      <c r="W372" s="480">
        <f>812/1200</f>
        <v>0.67669999999999997</v>
      </c>
      <c r="X372" s="480">
        <f>1230/1800</f>
        <v>0.68330000000000002</v>
      </c>
      <c r="Y372" s="480"/>
      <c r="Z372" s="480"/>
      <c r="AA372" s="480"/>
      <c r="AB372" s="480"/>
      <c r="AC372" s="393" t="e">
        <f t="shared" si="132"/>
        <v>#DIV/0!</v>
      </c>
      <c r="AD372" s="393" t="e">
        <f t="shared" si="133"/>
        <v>#DIV/0!</v>
      </c>
      <c r="AE372" s="393" t="e">
        <f t="shared" si="134"/>
        <v>#DIV/0!</v>
      </c>
      <c r="AF372" s="393" t="e">
        <f t="shared" si="135"/>
        <v>#DIV/0!</v>
      </c>
      <c r="AG372" s="393" t="e">
        <f t="shared" si="136"/>
        <v>#DIV/0!</v>
      </c>
      <c r="AH372" s="393" t="e">
        <f t="shared" si="137"/>
        <v>#DIV/0!</v>
      </c>
      <c r="AI372" s="393" t="e">
        <f t="shared" si="138"/>
        <v>#DIV/0!</v>
      </c>
      <c r="AJ372" s="393" t="e">
        <f t="shared" si="139"/>
        <v>#DIV/0!</v>
      </c>
      <c r="AK372" s="393" t="e">
        <f t="shared" si="140"/>
        <v>#DIV/0!</v>
      </c>
      <c r="AL372" s="393" t="e">
        <f t="shared" si="141"/>
        <v>#DIV/0!</v>
      </c>
      <c r="AM372" s="393" t="e">
        <f t="shared" si="142"/>
        <v>#DIV/0!</v>
      </c>
      <c r="AN372" s="393" t="e">
        <f t="shared" si="143"/>
        <v>#DIV/0!</v>
      </c>
      <c r="AO372" s="393" t="e">
        <f t="shared" si="144"/>
        <v>#DIV/0!</v>
      </c>
      <c r="AP372" s="393" t="e">
        <f t="shared" si="145"/>
        <v>#DIV/0!</v>
      </c>
      <c r="AQ372" s="393" t="e">
        <f t="shared" si="146"/>
        <v>#DIV/0!</v>
      </c>
      <c r="AR372" s="393" t="e">
        <f t="shared" si="147"/>
        <v>#DIV/0!</v>
      </c>
      <c r="AS372" s="393" t="e">
        <f t="shared" si="148"/>
        <v>#DIV/0!</v>
      </c>
      <c r="AT372" s="393" t="e">
        <f t="shared" si="149"/>
        <v>#DIV/0!</v>
      </c>
      <c r="AU372" s="393">
        <f t="shared" si="150"/>
        <v>3.867</v>
      </c>
      <c r="AV372" s="393">
        <f t="shared" si="151"/>
        <v>-0.50800000000000001</v>
      </c>
      <c r="AW372" s="393">
        <f t="shared" si="152"/>
        <v>4.6390000000000002</v>
      </c>
      <c r="AX372" s="393">
        <f t="shared" si="153"/>
        <v>0.97499999999999998</v>
      </c>
      <c r="AY372" s="393">
        <f t="shared" si="154"/>
        <v>-100</v>
      </c>
      <c r="AZ372" s="393" t="e">
        <f t="shared" si="155"/>
        <v>#DIV/0!</v>
      </c>
      <c r="BA372" s="393" t="e">
        <f t="shared" si="156"/>
        <v>#DIV/0!</v>
      </c>
      <c r="BB372" s="393" t="e">
        <f t="shared" si="157"/>
        <v>#DIV/0!</v>
      </c>
    </row>
    <row r="373" spans="1:54" x14ac:dyDescent="0.25">
      <c r="A373" s="360" t="s">
        <v>1314</v>
      </c>
      <c r="B373" s="480"/>
      <c r="C373" s="480"/>
      <c r="D373" s="480">
        <f>943/1800</f>
        <v>0.52390000000000003</v>
      </c>
      <c r="E373" s="480"/>
      <c r="F373" s="480"/>
      <c r="G373" s="480"/>
      <c r="H373" s="480"/>
      <c r="I373" s="480"/>
      <c r="J373" s="480"/>
      <c r="K373" s="480"/>
      <c r="L373" s="480"/>
      <c r="M373" s="480"/>
      <c r="N373" s="480"/>
      <c r="O373" s="480"/>
      <c r="P373" s="480"/>
      <c r="Q373" s="480"/>
      <c r="R373" s="480"/>
      <c r="S373" s="480"/>
      <c r="T373" s="480"/>
      <c r="U373" s="480"/>
      <c r="V373" s="480"/>
      <c r="W373" s="480"/>
      <c r="X373" s="480"/>
      <c r="Y373" s="480"/>
      <c r="Z373" s="480"/>
      <c r="AA373" s="480"/>
      <c r="AB373" s="480"/>
      <c r="AC373" s="393" t="e">
        <f t="shared" si="132"/>
        <v>#DIV/0!</v>
      </c>
      <c r="AD373" s="393" t="e">
        <f t="shared" si="133"/>
        <v>#DIV/0!</v>
      </c>
      <c r="AE373" s="393">
        <f t="shared" si="134"/>
        <v>-100</v>
      </c>
      <c r="AF373" s="393" t="e">
        <f t="shared" si="135"/>
        <v>#DIV/0!</v>
      </c>
      <c r="AG373" s="393" t="e">
        <f t="shared" si="136"/>
        <v>#DIV/0!</v>
      </c>
      <c r="AH373" s="393" t="e">
        <f t="shared" si="137"/>
        <v>#DIV/0!</v>
      </c>
      <c r="AI373" s="393" t="e">
        <f t="shared" si="138"/>
        <v>#DIV/0!</v>
      </c>
      <c r="AJ373" s="393" t="e">
        <f t="shared" si="139"/>
        <v>#DIV/0!</v>
      </c>
      <c r="AK373" s="393" t="e">
        <f t="shared" si="140"/>
        <v>#DIV/0!</v>
      </c>
      <c r="AL373" s="393" t="e">
        <f t="shared" si="141"/>
        <v>#DIV/0!</v>
      </c>
      <c r="AM373" s="393" t="e">
        <f t="shared" si="142"/>
        <v>#DIV/0!</v>
      </c>
      <c r="AN373" s="393" t="e">
        <f t="shared" si="143"/>
        <v>#DIV/0!</v>
      </c>
      <c r="AO373" s="393" t="e">
        <f t="shared" si="144"/>
        <v>#DIV/0!</v>
      </c>
      <c r="AP373" s="393" t="e">
        <f t="shared" si="145"/>
        <v>#DIV/0!</v>
      </c>
      <c r="AQ373" s="393" t="e">
        <f t="shared" si="146"/>
        <v>#DIV/0!</v>
      </c>
      <c r="AR373" s="393" t="e">
        <f t="shared" si="147"/>
        <v>#DIV/0!</v>
      </c>
      <c r="AS373" s="393" t="e">
        <f t="shared" si="148"/>
        <v>#DIV/0!</v>
      </c>
      <c r="AT373" s="393" t="e">
        <f t="shared" si="149"/>
        <v>#DIV/0!</v>
      </c>
      <c r="AU373" s="393" t="e">
        <f t="shared" si="150"/>
        <v>#DIV/0!</v>
      </c>
      <c r="AV373" s="393" t="e">
        <f t="shared" si="151"/>
        <v>#DIV/0!</v>
      </c>
      <c r="AW373" s="393" t="e">
        <f t="shared" si="152"/>
        <v>#DIV/0!</v>
      </c>
      <c r="AX373" s="393" t="e">
        <f t="shared" si="153"/>
        <v>#DIV/0!</v>
      </c>
      <c r="AY373" s="393" t="e">
        <f t="shared" si="154"/>
        <v>#DIV/0!</v>
      </c>
      <c r="AZ373" s="393" t="e">
        <f t="shared" si="155"/>
        <v>#DIV/0!</v>
      </c>
      <c r="BA373" s="393" t="e">
        <f t="shared" si="156"/>
        <v>#DIV/0!</v>
      </c>
      <c r="BB373" s="393" t="e">
        <f t="shared" si="157"/>
        <v>#DIV/0!</v>
      </c>
    </row>
    <row r="374" spans="1:54" x14ac:dyDescent="0.25">
      <c r="A374" s="361" t="s">
        <v>2245</v>
      </c>
      <c r="B374" s="480"/>
      <c r="C374" s="480"/>
      <c r="D374" s="480"/>
      <c r="E374" s="480"/>
      <c r="F374" s="480">
        <f>612/1200</f>
        <v>0.51</v>
      </c>
      <c r="G374" s="480"/>
      <c r="H374" s="480">
        <f>509/1200</f>
        <v>0.42420000000000002</v>
      </c>
      <c r="I374" s="480"/>
      <c r="J374" s="480"/>
      <c r="K374" s="480"/>
      <c r="L374" s="480">
        <f>568/1200</f>
        <v>0.4733</v>
      </c>
      <c r="M374" s="480"/>
      <c r="N374" s="480"/>
      <c r="O374" s="480"/>
      <c r="P374" s="480"/>
      <c r="Q374" s="480">
        <f>812/1800</f>
        <v>0.4511</v>
      </c>
      <c r="R374" s="480"/>
      <c r="S374" s="480"/>
      <c r="T374" s="480"/>
      <c r="U374" s="480"/>
      <c r="V374" s="480"/>
      <c r="W374" s="480"/>
      <c r="X374" s="480"/>
      <c r="Y374" s="480"/>
      <c r="Z374" s="480"/>
      <c r="AA374" s="480"/>
      <c r="AB374" s="480"/>
      <c r="AC374" s="393" t="e">
        <f t="shared" si="132"/>
        <v>#DIV/0!</v>
      </c>
      <c r="AD374" s="393" t="e">
        <f t="shared" si="133"/>
        <v>#DIV/0!</v>
      </c>
      <c r="AE374" s="393" t="e">
        <f t="shared" si="134"/>
        <v>#DIV/0!</v>
      </c>
      <c r="AF374" s="393" t="e">
        <f t="shared" si="135"/>
        <v>#DIV/0!</v>
      </c>
      <c r="AG374" s="393">
        <f t="shared" si="136"/>
        <v>-100</v>
      </c>
      <c r="AH374" s="393" t="e">
        <f t="shared" si="137"/>
        <v>#DIV/0!</v>
      </c>
      <c r="AI374" s="393">
        <f t="shared" si="138"/>
        <v>-100</v>
      </c>
      <c r="AJ374" s="393" t="e">
        <f t="shared" si="139"/>
        <v>#DIV/0!</v>
      </c>
      <c r="AK374" s="393" t="e">
        <f t="shared" si="140"/>
        <v>#DIV/0!</v>
      </c>
      <c r="AL374" s="393" t="e">
        <f t="shared" si="141"/>
        <v>#DIV/0!</v>
      </c>
      <c r="AM374" s="393">
        <f t="shared" si="142"/>
        <v>-100</v>
      </c>
      <c r="AN374" s="393" t="e">
        <f t="shared" si="143"/>
        <v>#DIV/0!</v>
      </c>
      <c r="AO374" s="393" t="e">
        <f t="shared" si="144"/>
        <v>#DIV/0!</v>
      </c>
      <c r="AP374" s="393" t="e">
        <f t="shared" si="145"/>
        <v>#DIV/0!</v>
      </c>
      <c r="AQ374" s="393" t="e">
        <f t="shared" si="146"/>
        <v>#DIV/0!</v>
      </c>
      <c r="AR374" s="393">
        <f t="shared" si="147"/>
        <v>-100</v>
      </c>
      <c r="AS374" s="393" t="e">
        <f t="shared" si="148"/>
        <v>#DIV/0!</v>
      </c>
      <c r="AT374" s="393" t="e">
        <f t="shared" si="149"/>
        <v>#DIV/0!</v>
      </c>
      <c r="AU374" s="393" t="e">
        <f t="shared" si="150"/>
        <v>#DIV/0!</v>
      </c>
      <c r="AV374" s="393" t="e">
        <f t="shared" si="151"/>
        <v>#DIV/0!</v>
      </c>
      <c r="AW374" s="393" t="e">
        <f t="shared" si="152"/>
        <v>#DIV/0!</v>
      </c>
      <c r="AX374" s="393" t="e">
        <f t="shared" si="153"/>
        <v>#DIV/0!</v>
      </c>
      <c r="AY374" s="393" t="e">
        <f t="shared" si="154"/>
        <v>#DIV/0!</v>
      </c>
      <c r="AZ374" s="393" t="e">
        <f t="shared" si="155"/>
        <v>#DIV/0!</v>
      </c>
      <c r="BA374" s="393" t="e">
        <f t="shared" si="156"/>
        <v>#DIV/0!</v>
      </c>
      <c r="BB374" s="393" t="e">
        <f t="shared" si="157"/>
        <v>#DIV/0!</v>
      </c>
    </row>
    <row r="375" spans="1:54" x14ac:dyDescent="0.25">
      <c r="A375" s="355" t="s">
        <v>1039</v>
      </c>
      <c r="B375" s="480"/>
      <c r="C375" s="480"/>
      <c r="D375" s="480"/>
      <c r="E375" s="480"/>
      <c r="F375" s="480"/>
      <c r="G375" s="480"/>
      <c r="H375" s="480"/>
      <c r="I375" s="480">
        <f>851/1200</f>
        <v>0.70920000000000005</v>
      </c>
      <c r="J375" s="480">
        <f>892/1200</f>
        <v>0.74329999999999996</v>
      </c>
      <c r="K375" s="480"/>
      <c r="L375" s="480"/>
      <c r="M375" s="480"/>
      <c r="N375" s="480"/>
      <c r="O375" s="480"/>
      <c r="P375" s="480"/>
      <c r="Q375" s="480"/>
      <c r="R375" s="480"/>
      <c r="S375" s="480"/>
      <c r="T375" s="480"/>
      <c r="U375" s="480"/>
      <c r="V375" s="481"/>
      <c r="W375" s="481"/>
      <c r="X375" s="481"/>
      <c r="Y375" s="481"/>
      <c r="Z375" s="481"/>
      <c r="AA375" s="481"/>
      <c r="AB375" s="481"/>
      <c r="AC375" s="393" t="e">
        <f t="shared" si="132"/>
        <v>#DIV/0!</v>
      </c>
      <c r="AD375" s="393" t="e">
        <f t="shared" si="133"/>
        <v>#DIV/0!</v>
      </c>
      <c r="AE375" s="393" t="e">
        <f t="shared" si="134"/>
        <v>#DIV/0!</v>
      </c>
      <c r="AF375" s="393" t="e">
        <f t="shared" si="135"/>
        <v>#DIV/0!</v>
      </c>
      <c r="AG375" s="393" t="e">
        <f t="shared" si="136"/>
        <v>#DIV/0!</v>
      </c>
      <c r="AH375" s="393" t="e">
        <f t="shared" si="137"/>
        <v>#DIV/0!</v>
      </c>
      <c r="AI375" s="393" t="e">
        <f t="shared" si="138"/>
        <v>#DIV/0!</v>
      </c>
      <c r="AJ375" s="393">
        <f t="shared" si="139"/>
        <v>4.8079999999999998</v>
      </c>
      <c r="AK375" s="393">
        <f t="shared" si="140"/>
        <v>-100</v>
      </c>
      <c r="AL375" s="393" t="e">
        <f t="shared" si="141"/>
        <v>#DIV/0!</v>
      </c>
      <c r="AM375" s="393" t="e">
        <f t="shared" si="142"/>
        <v>#DIV/0!</v>
      </c>
      <c r="AN375" s="393" t="e">
        <f t="shared" si="143"/>
        <v>#DIV/0!</v>
      </c>
      <c r="AO375" s="393" t="e">
        <f t="shared" si="144"/>
        <v>#DIV/0!</v>
      </c>
      <c r="AP375" s="393" t="e">
        <f t="shared" si="145"/>
        <v>#DIV/0!</v>
      </c>
      <c r="AQ375" s="393" t="e">
        <f t="shared" si="146"/>
        <v>#DIV/0!</v>
      </c>
      <c r="AR375" s="393" t="e">
        <f t="shared" si="147"/>
        <v>#DIV/0!</v>
      </c>
      <c r="AS375" s="393" t="e">
        <f t="shared" si="148"/>
        <v>#DIV/0!</v>
      </c>
      <c r="AT375" s="393" t="e">
        <f t="shared" si="149"/>
        <v>#DIV/0!</v>
      </c>
      <c r="AU375" s="393" t="e">
        <f t="shared" si="150"/>
        <v>#DIV/0!</v>
      </c>
      <c r="AV375" s="393" t="e">
        <f t="shared" si="151"/>
        <v>#DIV/0!</v>
      </c>
      <c r="AW375" s="393" t="e">
        <f t="shared" si="152"/>
        <v>#DIV/0!</v>
      </c>
      <c r="AX375" s="393" t="e">
        <f t="shared" si="153"/>
        <v>#DIV/0!</v>
      </c>
      <c r="AY375" s="393" t="e">
        <f t="shared" si="154"/>
        <v>#DIV/0!</v>
      </c>
      <c r="AZ375" s="393" t="e">
        <f t="shared" si="155"/>
        <v>#DIV/0!</v>
      </c>
      <c r="BA375" s="393" t="e">
        <f t="shared" si="156"/>
        <v>#DIV/0!</v>
      </c>
      <c r="BB375" s="393" t="e">
        <f t="shared" si="157"/>
        <v>#DIV/0!</v>
      </c>
    </row>
    <row r="376" spans="1:54" x14ac:dyDescent="0.25">
      <c r="A376" s="360" t="s">
        <v>1635</v>
      </c>
      <c r="B376" s="480"/>
      <c r="C376" s="480"/>
      <c r="D376" s="480">
        <f>1197/1800</f>
        <v>0.66500000000000004</v>
      </c>
      <c r="E376" s="480">
        <f>1127/1800</f>
        <v>0.62609999999999999</v>
      </c>
      <c r="F376" s="480">
        <f>781/1200</f>
        <v>0.65080000000000005</v>
      </c>
      <c r="G376" s="480">
        <f>1672/2400</f>
        <v>0.69669999999999999</v>
      </c>
      <c r="H376" s="480">
        <f>784/1200</f>
        <v>0.65329999999999999</v>
      </c>
      <c r="I376" s="480"/>
      <c r="J376" s="480"/>
      <c r="K376" s="480"/>
      <c r="L376" s="480"/>
      <c r="M376" s="480"/>
      <c r="N376" s="480"/>
      <c r="O376" s="480"/>
      <c r="P376" s="480"/>
      <c r="Q376" s="480"/>
      <c r="R376" s="480"/>
      <c r="S376" s="480"/>
      <c r="T376" s="480"/>
      <c r="U376" s="480"/>
      <c r="V376" s="480"/>
      <c r="W376" s="480"/>
      <c r="X376" s="480"/>
      <c r="Y376" s="480"/>
      <c r="Z376" s="480"/>
      <c r="AA376" s="480"/>
      <c r="AB376" s="480"/>
      <c r="AC376" s="393" t="e">
        <f t="shared" si="132"/>
        <v>#DIV/0!</v>
      </c>
      <c r="AD376" s="393" t="e">
        <f t="shared" si="133"/>
        <v>#DIV/0!</v>
      </c>
      <c r="AE376" s="393">
        <f t="shared" si="134"/>
        <v>-5.85</v>
      </c>
      <c r="AF376" s="393">
        <f t="shared" si="135"/>
        <v>3.9449999999999998</v>
      </c>
      <c r="AG376" s="393">
        <f t="shared" si="136"/>
        <v>7.0529999999999999</v>
      </c>
      <c r="AH376" s="393">
        <f t="shared" si="137"/>
        <v>-6.2290000000000001</v>
      </c>
      <c r="AI376" s="393">
        <f t="shared" si="138"/>
        <v>-100</v>
      </c>
      <c r="AJ376" s="393" t="e">
        <f t="shared" si="139"/>
        <v>#DIV/0!</v>
      </c>
      <c r="AK376" s="393" t="e">
        <f t="shared" si="140"/>
        <v>#DIV/0!</v>
      </c>
      <c r="AL376" s="393" t="e">
        <f t="shared" si="141"/>
        <v>#DIV/0!</v>
      </c>
      <c r="AM376" s="393" t="e">
        <f t="shared" si="142"/>
        <v>#DIV/0!</v>
      </c>
      <c r="AN376" s="393" t="e">
        <f t="shared" si="143"/>
        <v>#DIV/0!</v>
      </c>
      <c r="AO376" s="393" t="e">
        <f t="shared" si="144"/>
        <v>#DIV/0!</v>
      </c>
      <c r="AP376" s="393" t="e">
        <f t="shared" si="145"/>
        <v>#DIV/0!</v>
      </c>
      <c r="AQ376" s="393" t="e">
        <f t="shared" si="146"/>
        <v>#DIV/0!</v>
      </c>
      <c r="AR376" s="393" t="e">
        <f t="shared" si="147"/>
        <v>#DIV/0!</v>
      </c>
      <c r="AS376" s="393" t="e">
        <f t="shared" si="148"/>
        <v>#DIV/0!</v>
      </c>
      <c r="AT376" s="393" t="e">
        <f t="shared" si="149"/>
        <v>#DIV/0!</v>
      </c>
      <c r="AU376" s="393" t="e">
        <f t="shared" si="150"/>
        <v>#DIV/0!</v>
      </c>
      <c r="AV376" s="393" t="e">
        <f t="shared" si="151"/>
        <v>#DIV/0!</v>
      </c>
      <c r="AW376" s="393" t="e">
        <f t="shared" si="152"/>
        <v>#DIV/0!</v>
      </c>
      <c r="AX376" s="393" t="e">
        <f t="shared" si="153"/>
        <v>#DIV/0!</v>
      </c>
      <c r="AY376" s="393" t="e">
        <f t="shared" si="154"/>
        <v>#DIV/0!</v>
      </c>
      <c r="AZ376" s="393" t="e">
        <f t="shared" si="155"/>
        <v>#DIV/0!</v>
      </c>
      <c r="BA376" s="393" t="e">
        <f t="shared" si="156"/>
        <v>#DIV/0!</v>
      </c>
      <c r="BB376" s="393" t="e">
        <f t="shared" si="157"/>
        <v>#DIV/0!</v>
      </c>
    </row>
    <row r="377" spans="1:54" x14ac:dyDescent="0.25">
      <c r="A377" s="360" t="s">
        <v>4854</v>
      </c>
      <c r="B377" s="480"/>
      <c r="C377" s="480"/>
      <c r="D377" s="480"/>
      <c r="E377" s="480"/>
      <c r="F377" s="480"/>
      <c r="G377" s="480"/>
      <c r="H377" s="480"/>
      <c r="I377" s="480"/>
      <c r="J377" s="480"/>
      <c r="K377" s="480"/>
      <c r="L377" s="480"/>
      <c r="M377" s="480"/>
      <c r="N377" s="480"/>
      <c r="O377" s="480"/>
      <c r="P377" s="480"/>
      <c r="Q377" s="480"/>
      <c r="R377" s="480"/>
      <c r="S377" s="480"/>
      <c r="T377" s="480"/>
      <c r="U377" s="480"/>
      <c r="V377" s="480"/>
      <c r="W377" s="480"/>
      <c r="X377" s="480"/>
      <c r="Y377" s="480"/>
      <c r="Z377" s="480"/>
      <c r="AA377" s="480"/>
      <c r="AB377" s="480">
        <v>0.67200000000000004</v>
      </c>
      <c r="AC377" s="393" t="e">
        <f t="shared" si="132"/>
        <v>#DIV/0!</v>
      </c>
      <c r="AD377" s="393" t="e">
        <f t="shared" si="133"/>
        <v>#DIV/0!</v>
      </c>
      <c r="AE377" s="393" t="e">
        <f t="shared" si="134"/>
        <v>#DIV/0!</v>
      </c>
      <c r="AF377" s="393" t="e">
        <f t="shared" si="135"/>
        <v>#DIV/0!</v>
      </c>
      <c r="AG377" s="393" t="e">
        <f t="shared" si="136"/>
        <v>#DIV/0!</v>
      </c>
      <c r="AH377" s="393" t="e">
        <f t="shared" si="137"/>
        <v>#DIV/0!</v>
      </c>
      <c r="AI377" s="393" t="e">
        <f t="shared" si="138"/>
        <v>#DIV/0!</v>
      </c>
      <c r="AJ377" s="393" t="e">
        <f t="shared" si="139"/>
        <v>#DIV/0!</v>
      </c>
      <c r="AK377" s="393" t="e">
        <f t="shared" si="140"/>
        <v>#DIV/0!</v>
      </c>
      <c r="AL377" s="393" t="e">
        <f t="shared" si="141"/>
        <v>#DIV/0!</v>
      </c>
      <c r="AM377" s="393" t="e">
        <f t="shared" si="142"/>
        <v>#DIV/0!</v>
      </c>
      <c r="AN377" s="393" t="e">
        <f t="shared" si="143"/>
        <v>#DIV/0!</v>
      </c>
      <c r="AO377" s="393" t="e">
        <f t="shared" si="144"/>
        <v>#DIV/0!</v>
      </c>
      <c r="AP377" s="393" t="e">
        <f t="shared" si="145"/>
        <v>#DIV/0!</v>
      </c>
      <c r="AQ377" s="393" t="e">
        <f t="shared" si="146"/>
        <v>#DIV/0!</v>
      </c>
      <c r="AR377" s="393" t="e">
        <f t="shared" si="147"/>
        <v>#DIV/0!</v>
      </c>
      <c r="AS377" s="393" t="e">
        <f t="shared" si="148"/>
        <v>#DIV/0!</v>
      </c>
      <c r="AT377" s="393" t="e">
        <f t="shared" si="149"/>
        <v>#DIV/0!</v>
      </c>
      <c r="AU377" s="393" t="e">
        <f t="shared" si="150"/>
        <v>#DIV/0!</v>
      </c>
      <c r="AV377" s="393" t="e">
        <f t="shared" si="151"/>
        <v>#DIV/0!</v>
      </c>
      <c r="AW377" s="393" t="e">
        <f t="shared" si="152"/>
        <v>#DIV/0!</v>
      </c>
      <c r="AX377" s="393" t="e">
        <f t="shared" si="153"/>
        <v>#DIV/0!</v>
      </c>
      <c r="AY377" s="393" t="e">
        <f t="shared" si="154"/>
        <v>#DIV/0!</v>
      </c>
      <c r="AZ377" s="393" t="e">
        <f t="shared" si="155"/>
        <v>#DIV/0!</v>
      </c>
      <c r="BA377" s="393" t="e">
        <f t="shared" si="156"/>
        <v>#DIV/0!</v>
      </c>
      <c r="BB377" s="393" t="e">
        <f t="shared" si="157"/>
        <v>#DIV/0!</v>
      </c>
    </row>
    <row r="378" spans="1:54" x14ac:dyDescent="0.25">
      <c r="A378" s="361" t="s">
        <v>88</v>
      </c>
      <c r="B378" s="480"/>
      <c r="C378" s="480"/>
      <c r="D378" s="480"/>
      <c r="E378" s="480"/>
      <c r="F378" s="480"/>
      <c r="G378" s="480"/>
      <c r="H378" s="480"/>
      <c r="I378" s="480"/>
      <c r="J378" s="480"/>
      <c r="K378" s="480"/>
      <c r="L378" s="480"/>
      <c r="M378" s="480"/>
      <c r="N378" s="480"/>
      <c r="O378" s="480"/>
      <c r="P378" s="480"/>
      <c r="Q378" s="480"/>
      <c r="R378" s="480"/>
      <c r="S378" s="480"/>
      <c r="T378" s="480"/>
      <c r="U378" s="480">
        <f>975/1800</f>
        <v>0.54169999999999996</v>
      </c>
      <c r="V378" s="480"/>
      <c r="W378" s="480">
        <f>662/1200</f>
        <v>0.55169999999999997</v>
      </c>
      <c r="X378" s="480"/>
      <c r="Y378" s="480"/>
      <c r="Z378" s="480"/>
      <c r="AA378" s="480"/>
      <c r="AB378" s="480"/>
      <c r="AC378" s="393" t="e">
        <f t="shared" si="132"/>
        <v>#DIV/0!</v>
      </c>
      <c r="AD378" s="393" t="e">
        <f t="shared" si="133"/>
        <v>#DIV/0!</v>
      </c>
      <c r="AE378" s="393" t="e">
        <f t="shared" si="134"/>
        <v>#DIV/0!</v>
      </c>
      <c r="AF378" s="393" t="e">
        <f t="shared" si="135"/>
        <v>#DIV/0!</v>
      </c>
      <c r="AG378" s="393" t="e">
        <f t="shared" si="136"/>
        <v>#DIV/0!</v>
      </c>
      <c r="AH378" s="393" t="e">
        <f t="shared" si="137"/>
        <v>#DIV/0!</v>
      </c>
      <c r="AI378" s="393" t="e">
        <f t="shared" si="138"/>
        <v>#DIV/0!</v>
      </c>
      <c r="AJ378" s="393" t="e">
        <f t="shared" si="139"/>
        <v>#DIV/0!</v>
      </c>
      <c r="AK378" s="393" t="e">
        <f t="shared" si="140"/>
        <v>#DIV/0!</v>
      </c>
      <c r="AL378" s="393" t="e">
        <f t="shared" si="141"/>
        <v>#DIV/0!</v>
      </c>
      <c r="AM378" s="393" t="e">
        <f t="shared" si="142"/>
        <v>#DIV/0!</v>
      </c>
      <c r="AN378" s="393" t="e">
        <f t="shared" si="143"/>
        <v>#DIV/0!</v>
      </c>
      <c r="AO378" s="393" t="e">
        <f t="shared" si="144"/>
        <v>#DIV/0!</v>
      </c>
      <c r="AP378" s="393" t="e">
        <f t="shared" si="145"/>
        <v>#DIV/0!</v>
      </c>
      <c r="AQ378" s="393" t="e">
        <f t="shared" si="146"/>
        <v>#DIV/0!</v>
      </c>
      <c r="AR378" s="393" t="e">
        <f t="shared" si="147"/>
        <v>#DIV/0!</v>
      </c>
      <c r="AS378" s="393" t="e">
        <f t="shared" si="148"/>
        <v>#DIV/0!</v>
      </c>
      <c r="AT378" s="393" t="e">
        <f t="shared" si="149"/>
        <v>#DIV/0!</v>
      </c>
      <c r="AU378" s="393" t="e">
        <f t="shared" si="150"/>
        <v>#DIV/0!</v>
      </c>
      <c r="AV378" s="393">
        <f t="shared" si="151"/>
        <v>-100</v>
      </c>
      <c r="AW378" s="393" t="e">
        <f t="shared" si="152"/>
        <v>#DIV/0!</v>
      </c>
      <c r="AX378" s="393">
        <f t="shared" si="153"/>
        <v>-100</v>
      </c>
      <c r="AY378" s="393" t="e">
        <f t="shared" si="154"/>
        <v>#DIV/0!</v>
      </c>
      <c r="AZ378" s="393" t="e">
        <f t="shared" si="155"/>
        <v>#DIV/0!</v>
      </c>
      <c r="BA378" s="393" t="e">
        <f t="shared" si="156"/>
        <v>#DIV/0!</v>
      </c>
      <c r="BB378" s="393" t="e">
        <f t="shared" si="157"/>
        <v>#DIV/0!</v>
      </c>
    </row>
    <row r="379" spans="1:54" x14ac:dyDescent="0.25">
      <c r="A379" s="361" t="s">
        <v>2737</v>
      </c>
      <c r="B379" s="480"/>
      <c r="C379" s="480"/>
      <c r="D379" s="480"/>
      <c r="E379" s="480"/>
      <c r="F379" s="480"/>
      <c r="G379" s="480"/>
      <c r="H379" s="480">
        <f>539/1200</f>
        <v>0.44919999999999999</v>
      </c>
      <c r="I379" s="480"/>
      <c r="J379" s="480">
        <f>561/1200</f>
        <v>0.46750000000000003</v>
      </c>
      <c r="K379" s="480"/>
      <c r="L379" s="480"/>
      <c r="M379" s="480"/>
      <c r="N379" s="480"/>
      <c r="O379" s="480"/>
      <c r="P379" s="480"/>
      <c r="Q379" s="480"/>
      <c r="R379" s="480"/>
      <c r="S379" s="480"/>
      <c r="T379" s="480"/>
      <c r="U379" s="480"/>
      <c r="V379" s="481"/>
      <c r="W379" s="481"/>
      <c r="X379" s="481"/>
      <c r="Y379" s="481"/>
      <c r="Z379" s="481"/>
      <c r="AA379" s="481"/>
      <c r="AB379" s="481"/>
      <c r="AC379" s="393" t="e">
        <f t="shared" si="132"/>
        <v>#DIV/0!</v>
      </c>
      <c r="AD379" s="393" t="e">
        <f t="shared" si="133"/>
        <v>#DIV/0!</v>
      </c>
      <c r="AE379" s="393" t="e">
        <f t="shared" si="134"/>
        <v>#DIV/0!</v>
      </c>
      <c r="AF379" s="393" t="e">
        <f t="shared" si="135"/>
        <v>#DIV/0!</v>
      </c>
      <c r="AG379" s="393" t="e">
        <f t="shared" si="136"/>
        <v>#DIV/0!</v>
      </c>
      <c r="AH379" s="393" t="e">
        <f t="shared" si="137"/>
        <v>#DIV/0!</v>
      </c>
      <c r="AI379" s="393">
        <f t="shared" si="138"/>
        <v>-100</v>
      </c>
      <c r="AJ379" s="393" t="e">
        <f t="shared" si="139"/>
        <v>#DIV/0!</v>
      </c>
      <c r="AK379" s="393">
        <f t="shared" si="140"/>
        <v>-100</v>
      </c>
      <c r="AL379" s="393" t="e">
        <f t="shared" si="141"/>
        <v>#DIV/0!</v>
      </c>
      <c r="AM379" s="393" t="e">
        <f t="shared" si="142"/>
        <v>#DIV/0!</v>
      </c>
      <c r="AN379" s="393" t="e">
        <f t="shared" si="143"/>
        <v>#DIV/0!</v>
      </c>
      <c r="AO379" s="393" t="e">
        <f t="shared" si="144"/>
        <v>#DIV/0!</v>
      </c>
      <c r="AP379" s="393" t="e">
        <f t="shared" si="145"/>
        <v>#DIV/0!</v>
      </c>
      <c r="AQ379" s="393" t="e">
        <f t="shared" si="146"/>
        <v>#DIV/0!</v>
      </c>
      <c r="AR379" s="393" t="e">
        <f t="shared" si="147"/>
        <v>#DIV/0!</v>
      </c>
      <c r="AS379" s="393" t="e">
        <f t="shared" si="148"/>
        <v>#DIV/0!</v>
      </c>
      <c r="AT379" s="393" t="e">
        <f t="shared" si="149"/>
        <v>#DIV/0!</v>
      </c>
      <c r="AU379" s="393" t="e">
        <f t="shared" si="150"/>
        <v>#DIV/0!</v>
      </c>
      <c r="AV379" s="393" t="e">
        <f t="shared" si="151"/>
        <v>#DIV/0!</v>
      </c>
      <c r="AW379" s="393" t="e">
        <f t="shared" si="152"/>
        <v>#DIV/0!</v>
      </c>
      <c r="AX379" s="393" t="e">
        <f t="shared" si="153"/>
        <v>#DIV/0!</v>
      </c>
      <c r="AY379" s="393" t="e">
        <f t="shared" si="154"/>
        <v>#DIV/0!</v>
      </c>
      <c r="AZ379" s="393" t="e">
        <f t="shared" si="155"/>
        <v>#DIV/0!</v>
      </c>
      <c r="BA379" s="393" t="e">
        <f t="shared" si="156"/>
        <v>#DIV/0!</v>
      </c>
      <c r="BB379" s="393" t="e">
        <f t="shared" si="157"/>
        <v>#DIV/0!</v>
      </c>
    </row>
    <row r="380" spans="1:54" x14ac:dyDescent="0.25">
      <c r="A380" s="361" t="s">
        <v>871</v>
      </c>
      <c r="B380" s="480"/>
      <c r="C380" s="480"/>
      <c r="D380" s="480"/>
      <c r="E380" s="480"/>
      <c r="F380" s="480"/>
      <c r="G380" s="480"/>
      <c r="H380" s="480"/>
      <c r="I380" s="480"/>
      <c r="J380" s="480"/>
      <c r="K380" s="480"/>
      <c r="L380" s="480"/>
      <c r="M380" s="480"/>
      <c r="N380" s="480"/>
      <c r="O380" s="480"/>
      <c r="P380" s="480"/>
      <c r="Q380" s="480"/>
      <c r="R380" s="480"/>
      <c r="S380" s="480"/>
      <c r="T380" s="480"/>
      <c r="U380" s="480"/>
      <c r="V380" s="481">
        <f>801/1200</f>
        <v>0.66749999999999998</v>
      </c>
      <c r="W380" s="481">
        <f>736/1200</f>
        <v>0.61329999999999996</v>
      </c>
      <c r="X380" s="481"/>
      <c r="Y380" s="481"/>
      <c r="Z380" s="481"/>
      <c r="AA380" s="481"/>
      <c r="AB380" s="481"/>
      <c r="AC380" s="393" t="e">
        <f t="shared" si="132"/>
        <v>#DIV/0!</v>
      </c>
      <c r="AD380" s="393" t="e">
        <f t="shared" si="133"/>
        <v>#DIV/0!</v>
      </c>
      <c r="AE380" s="393" t="e">
        <f t="shared" si="134"/>
        <v>#DIV/0!</v>
      </c>
      <c r="AF380" s="393" t="e">
        <f t="shared" si="135"/>
        <v>#DIV/0!</v>
      </c>
      <c r="AG380" s="393" t="e">
        <f t="shared" si="136"/>
        <v>#DIV/0!</v>
      </c>
      <c r="AH380" s="393" t="e">
        <f t="shared" si="137"/>
        <v>#DIV/0!</v>
      </c>
      <c r="AI380" s="393" t="e">
        <f t="shared" si="138"/>
        <v>#DIV/0!</v>
      </c>
      <c r="AJ380" s="393" t="e">
        <f t="shared" si="139"/>
        <v>#DIV/0!</v>
      </c>
      <c r="AK380" s="393" t="e">
        <f t="shared" si="140"/>
        <v>#DIV/0!</v>
      </c>
      <c r="AL380" s="393" t="e">
        <f t="shared" si="141"/>
        <v>#DIV/0!</v>
      </c>
      <c r="AM380" s="393" t="e">
        <f t="shared" si="142"/>
        <v>#DIV/0!</v>
      </c>
      <c r="AN380" s="393" t="e">
        <f t="shared" si="143"/>
        <v>#DIV/0!</v>
      </c>
      <c r="AO380" s="393" t="e">
        <f t="shared" si="144"/>
        <v>#DIV/0!</v>
      </c>
      <c r="AP380" s="393" t="e">
        <f t="shared" si="145"/>
        <v>#DIV/0!</v>
      </c>
      <c r="AQ380" s="393" t="e">
        <f t="shared" si="146"/>
        <v>#DIV/0!</v>
      </c>
      <c r="AR380" s="393" t="e">
        <f t="shared" si="147"/>
        <v>#DIV/0!</v>
      </c>
      <c r="AS380" s="393" t="e">
        <f t="shared" si="148"/>
        <v>#DIV/0!</v>
      </c>
      <c r="AT380" s="393" t="e">
        <f t="shared" si="149"/>
        <v>#DIV/0!</v>
      </c>
      <c r="AU380" s="393" t="e">
        <f t="shared" si="150"/>
        <v>#DIV/0!</v>
      </c>
      <c r="AV380" s="393" t="e">
        <f t="shared" si="151"/>
        <v>#DIV/0!</v>
      </c>
      <c r="AW380" s="393">
        <f t="shared" si="152"/>
        <v>-8.1199999999999992</v>
      </c>
      <c r="AX380" s="393">
        <f t="shared" si="153"/>
        <v>-100</v>
      </c>
      <c r="AY380" s="393" t="e">
        <f t="shared" si="154"/>
        <v>#DIV/0!</v>
      </c>
      <c r="AZ380" s="393" t="e">
        <f t="shared" si="155"/>
        <v>#DIV/0!</v>
      </c>
      <c r="BA380" s="393" t="e">
        <f t="shared" si="156"/>
        <v>#DIV/0!</v>
      </c>
      <c r="BB380" s="393" t="e">
        <f t="shared" si="157"/>
        <v>#DIV/0!</v>
      </c>
    </row>
    <row r="381" spans="1:54" x14ac:dyDescent="0.25">
      <c r="A381" s="360" t="s">
        <v>771</v>
      </c>
      <c r="B381" s="480"/>
      <c r="C381" s="480"/>
      <c r="D381" s="480">
        <f>1030/1800</f>
        <v>0.57220000000000004</v>
      </c>
      <c r="E381" s="480"/>
      <c r="F381" s="480"/>
      <c r="G381" s="480"/>
      <c r="H381" s="480"/>
      <c r="I381" s="480"/>
      <c r="J381" s="480"/>
      <c r="K381" s="480"/>
      <c r="L381" s="480"/>
      <c r="M381" s="480"/>
      <c r="N381" s="480"/>
      <c r="O381" s="480"/>
      <c r="P381" s="480"/>
      <c r="Q381" s="480"/>
      <c r="R381" s="480"/>
      <c r="S381" s="480"/>
      <c r="T381" s="480"/>
      <c r="U381" s="480"/>
      <c r="V381" s="480"/>
      <c r="W381" s="480"/>
      <c r="X381" s="480"/>
      <c r="Y381" s="480"/>
      <c r="Z381" s="480"/>
      <c r="AA381" s="480"/>
      <c r="AB381" s="480"/>
      <c r="AC381" s="393" t="e">
        <f t="shared" si="132"/>
        <v>#DIV/0!</v>
      </c>
      <c r="AD381" s="393" t="e">
        <f t="shared" si="133"/>
        <v>#DIV/0!</v>
      </c>
      <c r="AE381" s="393">
        <f t="shared" si="134"/>
        <v>-100</v>
      </c>
      <c r="AF381" s="393" t="e">
        <f t="shared" si="135"/>
        <v>#DIV/0!</v>
      </c>
      <c r="AG381" s="393" t="e">
        <f t="shared" si="136"/>
        <v>#DIV/0!</v>
      </c>
      <c r="AH381" s="393" t="e">
        <f t="shared" si="137"/>
        <v>#DIV/0!</v>
      </c>
      <c r="AI381" s="393" t="e">
        <f t="shared" si="138"/>
        <v>#DIV/0!</v>
      </c>
      <c r="AJ381" s="393" t="e">
        <f t="shared" si="139"/>
        <v>#DIV/0!</v>
      </c>
      <c r="AK381" s="393" t="e">
        <f t="shared" si="140"/>
        <v>#DIV/0!</v>
      </c>
      <c r="AL381" s="393" t="e">
        <f t="shared" si="141"/>
        <v>#DIV/0!</v>
      </c>
      <c r="AM381" s="393" t="e">
        <f t="shared" si="142"/>
        <v>#DIV/0!</v>
      </c>
      <c r="AN381" s="393" t="e">
        <f t="shared" si="143"/>
        <v>#DIV/0!</v>
      </c>
      <c r="AO381" s="393" t="e">
        <f t="shared" si="144"/>
        <v>#DIV/0!</v>
      </c>
      <c r="AP381" s="393" t="e">
        <f t="shared" si="145"/>
        <v>#DIV/0!</v>
      </c>
      <c r="AQ381" s="393" t="e">
        <f t="shared" si="146"/>
        <v>#DIV/0!</v>
      </c>
      <c r="AR381" s="393" t="e">
        <f t="shared" si="147"/>
        <v>#DIV/0!</v>
      </c>
      <c r="AS381" s="393" t="e">
        <f t="shared" si="148"/>
        <v>#DIV/0!</v>
      </c>
      <c r="AT381" s="393" t="e">
        <f t="shared" si="149"/>
        <v>#DIV/0!</v>
      </c>
      <c r="AU381" s="393" t="e">
        <f t="shared" si="150"/>
        <v>#DIV/0!</v>
      </c>
      <c r="AV381" s="393" t="e">
        <f t="shared" si="151"/>
        <v>#DIV/0!</v>
      </c>
      <c r="AW381" s="393" t="e">
        <f t="shared" si="152"/>
        <v>#DIV/0!</v>
      </c>
      <c r="AX381" s="393" t="e">
        <f t="shared" si="153"/>
        <v>#DIV/0!</v>
      </c>
      <c r="AY381" s="393" t="e">
        <f t="shared" si="154"/>
        <v>#DIV/0!</v>
      </c>
      <c r="AZ381" s="393" t="e">
        <f t="shared" si="155"/>
        <v>#DIV/0!</v>
      </c>
      <c r="BA381" s="393" t="e">
        <f t="shared" si="156"/>
        <v>#DIV/0!</v>
      </c>
      <c r="BB381" s="393" t="e">
        <f t="shared" si="157"/>
        <v>#DIV/0!</v>
      </c>
    </row>
    <row r="382" spans="1:54" x14ac:dyDescent="0.25">
      <c r="A382" s="361" t="s">
        <v>1186</v>
      </c>
      <c r="B382" s="480"/>
      <c r="C382" s="480"/>
      <c r="D382" s="480"/>
      <c r="E382" s="480"/>
      <c r="F382" s="480"/>
      <c r="G382" s="480"/>
      <c r="H382" s="480"/>
      <c r="I382" s="480"/>
      <c r="J382" s="480"/>
      <c r="K382" s="480"/>
      <c r="L382" s="480"/>
      <c r="M382" s="480"/>
      <c r="N382" s="480"/>
      <c r="O382" s="480"/>
      <c r="P382" s="480"/>
      <c r="Q382" s="480"/>
      <c r="R382" s="480"/>
      <c r="S382" s="480"/>
      <c r="T382" s="480"/>
      <c r="U382" s="480"/>
      <c r="V382" s="481"/>
      <c r="W382" s="481"/>
      <c r="X382" s="481">
        <f>1191/1800</f>
        <v>0.66169999999999995</v>
      </c>
      <c r="Y382" s="481"/>
      <c r="Z382" s="481"/>
      <c r="AA382" s="481"/>
      <c r="AB382" s="481"/>
      <c r="AC382" s="393" t="e">
        <f t="shared" si="132"/>
        <v>#DIV/0!</v>
      </c>
      <c r="AD382" s="393" t="e">
        <f t="shared" si="133"/>
        <v>#DIV/0!</v>
      </c>
      <c r="AE382" s="393" t="e">
        <f t="shared" si="134"/>
        <v>#DIV/0!</v>
      </c>
      <c r="AF382" s="393" t="e">
        <f t="shared" si="135"/>
        <v>#DIV/0!</v>
      </c>
      <c r="AG382" s="393" t="e">
        <f t="shared" si="136"/>
        <v>#DIV/0!</v>
      </c>
      <c r="AH382" s="393" t="e">
        <f t="shared" si="137"/>
        <v>#DIV/0!</v>
      </c>
      <c r="AI382" s="393" t="e">
        <f t="shared" si="138"/>
        <v>#DIV/0!</v>
      </c>
      <c r="AJ382" s="393" t="e">
        <f t="shared" si="139"/>
        <v>#DIV/0!</v>
      </c>
      <c r="AK382" s="393" t="e">
        <f t="shared" si="140"/>
        <v>#DIV/0!</v>
      </c>
      <c r="AL382" s="393" t="e">
        <f t="shared" si="141"/>
        <v>#DIV/0!</v>
      </c>
      <c r="AM382" s="393" t="e">
        <f t="shared" si="142"/>
        <v>#DIV/0!</v>
      </c>
      <c r="AN382" s="393" t="e">
        <f t="shared" si="143"/>
        <v>#DIV/0!</v>
      </c>
      <c r="AO382" s="393" t="e">
        <f t="shared" si="144"/>
        <v>#DIV/0!</v>
      </c>
      <c r="AP382" s="393" t="e">
        <f t="shared" si="145"/>
        <v>#DIV/0!</v>
      </c>
      <c r="AQ382" s="393" t="e">
        <f t="shared" si="146"/>
        <v>#DIV/0!</v>
      </c>
      <c r="AR382" s="393" t="e">
        <f t="shared" si="147"/>
        <v>#DIV/0!</v>
      </c>
      <c r="AS382" s="393" t="e">
        <f t="shared" si="148"/>
        <v>#DIV/0!</v>
      </c>
      <c r="AT382" s="393" t="e">
        <f t="shared" si="149"/>
        <v>#DIV/0!</v>
      </c>
      <c r="AU382" s="393" t="e">
        <f t="shared" si="150"/>
        <v>#DIV/0!</v>
      </c>
      <c r="AV382" s="393" t="e">
        <f t="shared" si="151"/>
        <v>#DIV/0!</v>
      </c>
      <c r="AW382" s="393" t="e">
        <f t="shared" si="152"/>
        <v>#DIV/0!</v>
      </c>
      <c r="AX382" s="393" t="e">
        <f t="shared" si="153"/>
        <v>#DIV/0!</v>
      </c>
      <c r="AY382" s="393">
        <f t="shared" si="154"/>
        <v>-100</v>
      </c>
      <c r="AZ382" s="393" t="e">
        <f t="shared" si="155"/>
        <v>#DIV/0!</v>
      </c>
      <c r="BA382" s="393" t="e">
        <f t="shared" si="156"/>
        <v>#DIV/0!</v>
      </c>
      <c r="BB382" s="393" t="e">
        <f t="shared" si="157"/>
        <v>#DIV/0!</v>
      </c>
    </row>
    <row r="383" spans="1:54" x14ac:dyDescent="0.25">
      <c r="A383" s="361" t="s">
        <v>4012</v>
      </c>
      <c r="B383" s="480"/>
      <c r="C383" s="480"/>
      <c r="D383" s="480"/>
      <c r="E383" s="480"/>
      <c r="F383" s="480"/>
      <c r="G383" s="480"/>
      <c r="H383" s="480"/>
      <c r="I383" s="480"/>
      <c r="J383" s="480"/>
      <c r="K383" s="480"/>
      <c r="L383" s="480"/>
      <c r="M383" s="480"/>
      <c r="N383" s="480"/>
      <c r="O383" s="480"/>
      <c r="P383" s="480"/>
      <c r="Q383" s="480"/>
      <c r="R383" s="480"/>
      <c r="S383" s="480"/>
      <c r="T383" s="480">
        <f>660/1200</f>
        <v>0.55000000000000004</v>
      </c>
      <c r="U383" s="480"/>
      <c r="V383" s="480"/>
      <c r="W383" s="480"/>
      <c r="X383" s="480"/>
      <c r="Y383" s="480"/>
      <c r="Z383" s="480"/>
      <c r="AA383" s="480"/>
      <c r="AB383" s="480"/>
      <c r="AC383" s="393" t="e">
        <f t="shared" si="132"/>
        <v>#DIV/0!</v>
      </c>
      <c r="AD383" s="393" t="e">
        <f t="shared" si="133"/>
        <v>#DIV/0!</v>
      </c>
      <c r="AE383" s="393" t="e">
        <f t="shared" si="134"/>
        <v>#DIV/0!</v>
      </c>
      <c r="AF383" s="393" t="e">
        <f t="shared" si="135"/>
        <v>#DIV/0!</v>
      </c>
      <c r="AG383" s="393" t="e">
        <f t="shared" si="136"/>
        <v>#DIV/0!</v>
      </c>
      <c r="AH383" s="393" t="e">
        <f t="shared" si="137"/>
        <v>#DIV/0!</v>
      </c>
      <c r="AI383" s="393" t="e">
        <f t="shared" si="138"/>
        <v>#DIV/0!</v>
      </c>
      <c r="AJ383" s="393" t="e">
        <f t="shared" si="139"/>
        <v>#DIV/0!</v>
      </c>
      <c r="AK383" s="393" t="e">
        <f t="shared" si="140"/>
        <v>#DIV/0!</v>
      </c>
      <c r="AL383" s="393" t="e">
        <f t="shared" si="141"/>
        <v>#DIV/0!</v>
      </c>
      <c r="AM383" s="393" t="e">
        <f t="shared" si="142"/>
        <v>#DIV/0!</v>
      </c>
      <c r="AN383" s="393" t="e">
        <f t="shared" si="143"/>
        <v>#DIV/0!</v>
      </c>
      <c r="AO383" s="393" t="e">
        <f t="shared" si="144"/>
        <v>#DIV/0!</v>
      </c>
      <c r="AP383" s="393" t="e">
        <f t="shared" si="145"/>
        <v>#DIV/0!</v>
      </c>
      <c r="AQ383" s="393" t="e">
        <f t="shared" si="146"/>
        <v>#DIV/0!</v>
      </c>
      <c r="AR383" s="393" t="e">
        <f t="shared" si="147"/>
        <v>#DIV/0!</v>
      </c>
      <c r="AS383" s="393" t="e">
        <f t="shared" si="148"/>
        <v>#DIV/0!</v>
      </c>
      <c r="AT383" s="393" t="e">
        <f t="shared" si="149"/>
        <v>#DIV/0!</v>
      </c>
      <c r="AU383" s="393">
        <f t="shared" si="150"/>
        <v>-100</v>
      </c>
      <c r="AV383" s="393" t="e">
        <f t="shared" si="151"/>
        <v>#DIV/0!</v>
      </c>
      <c r="AW383" s="393" t="e">
        <f t="shared" si="152"/>
        <v>#DIV/0!</v>
      </c>
      <c r="AX383" s="393" t="e">
        <f t="shared" si="153"/>
        <v>#DIV/0!</v>
      </c>
      <c r="AY383" s="393" t="e">
        <f t="shared" si="154"/>
        <v>#DIV/0!</v>
      </c>
      <c r="AZ383" s="393" t="e">
        <f t="shared" si="155"/>
        <v>#DIV/0!</v>
      </c>
      <c r="BA383" s="393" t="e">
        <f t="shared" si="156"/>
        <v>#DIV/0!</v>
      </c>
      <c r="BB383" s="393" t="e">
        <f t="shared" si="157"/>
        <v>#DIV/0!</v>
      </c>
    </row>
    <row r="384" spans="1:54" x14ac:dyDescent="0.25">
      <c r="A384" s="361" t="s">
        <v>1086</v>
      </c>
      <c r="B384" s="480"/>
      <c r="C384" s="480"/>
      <c r="D384" s="480"/>
      <c r="E384" s="480"/>
      <c r="F384" s="480"/>
      <c r="G384" s="480"/>
      <c r="H384" s="480"/>
      <c r="I384" s="480"/>
      <c r="J384" s="480"/>
      <c r="K384" s="480"/>
      <c r="L384" s="480"/>
      <c r="M384" s="480"/>
      <c r="N384" s="480"/>
      <c r="O384" s="480"/>
      <c r="P384" s="480"/>
      <c r="Q384" s="480"/>
      <c r="R384" s="480"/>
      <c r="S384" s="480"/>
      <c r="T384" s="480"/>
      <c r="U384" s="480"/>
      <c r="V384" s="481"/>
      <c r="W384" s="481"/>
      <c r="X384" s="481">
        <f>1259/1800</f>
        <v>0.69940000000000002</v>
      </c>
      <c r="Y384" s="481"/>
      <c r="Z384" s="481"/>
      <c r="AA384" s="481"/>
      <c r="AB384" s="481"/>
      <c r="AC384" s="393" t="e">
        <f t="shared" si="132"/>
        <v>#DIV/0!</v>
      </c>
      <c r="AD384" s="393" t="e">
        <f t="shared" si="133"/>
        <v>#DIV/0!</v>
      </c>
      <c r="AE384" s="393" t="e">
        <f t="shared" si="134"/>
        <v>#DIV/0!</v>
      </c>
      <c r="AF384" s="393" t="e">
        <f t="shared" si="135"/>
        <v>#DIV/0!</v>
      </c>
      <c r="AG384" s="393" t="e">
        <f t="shared" si="136"/>
        <v>#DIV/0!</v>
      </c>
      <c r="AH384" s="393" t="e">
        <f t="shared" si="137"/>
        <v>#DIV/0!</v>
      </c>
      <c r="AI384" s="393" t="e">
        <f t="shared" si="138"/>
        <v>#DIV/0!</v>
      </c>
      <c r="AJ384" s="393" t="e">
        <f t="shared" si="139"/>
        <v>#DIV/0!</v>
      </c>
      <c r="AK384" s="393" t="e">
        <f t="shared" si="140"/>
        <v>#DIV/0!</v>
      </c>
      <c r="AL384" s="393" t="e">
        <f t="shared" si="141"/>
        <v>#DIV/0!</v>
      </c>
      <c r="AM384" s="393" t="e">
        <f t="shared" si="142"/>
        <v>#DIV/0!</v>
      </c>
      <c r="AN384" s="393" t="e">
        <f t="shared" si="143"/>
        <v>#DIV/0!</v>
      </c>
      <c r="AO384" s="393" t="e">
        <f t="shared" si="144"/>
        <v>#DIV/0!</v>
      </c>
      <c r="AP384" s="393" t="e">
        <f t="shared" si="145"/>
        <v>#DIV/0!</v>
      </c>
      <c r="AQ384" s="393" t="e">
        <f t="shared" si="146"/>
        <v>#DIV/0!</v>
      </c>
      <c r="AR384" s="393" t="e">
        <f t="shared" si="147"/>
        <v>#DIV/0!</v>
      </c>
      <c r="AS384" s="393" t="e">
        <f t="shared" si="148"/>
        <v>#DIV/0!</v>
      </c>
      <c r="AT384" s="393" t="e">
        <f t="shared" si="149"/>
        <v>#DIV/0!</v>
      </c>
      <c r="AU384" s="393" t="e">
        <f t="shared" si="150"/>
        <v>#DIV/0!</v>
      </c>
      <c r="AV384" s="393" t="e">
        <f t="shared" si="151"/>
        <v>#DIV/0!</v>
      </c>
      <c r="AW384" s="393" t="e">
        <f t="shared" si="152"/>
        <v>#DIV/0!</v>
      </c>
      <c r="AX384" s="393" t="e">
        <f t="shared" si="153"/>
        <v>#DIV/0!</v>
      </c>
      <c r="AY384" s="393">
        <f t="shared" si="154"/>
        <v>-100</v>
      </c>
      <c r="AZ384" s="393" t="e">
        <f t="shared" si="155"/>
        <v>#DIV/0!</v>
      </c>
      <c r="BA384" s="393" t="e">
        <f t="shared" si="156"/>
        <v>#DIV/0!</v>
      </c>
      <c r="BB384" s="393" t="e">
        <f t="shared" si="157"/>
        <v>#DIV/0!</v>
      </c>
    </row>
    <row r="385" spans="1:54" x14ac:dyDescent="0.25">
      <c r="A385" s="361" t="s">
        <v>1388</v>
      </c>
      <c r="B385" s="480">
        <f>1011/1800</f>
        <v>0.56169999999999998</v>
      </c>
      <c r="C385" s="480">
        <f>937/1800</f>
        <v>0.52059999999999995</v>
      </c>
      <c r="D385" s="480"/>
      <c r="E385" s="480"/>
      <c r="F385" s="480"/>
      <c r="G385" s="480"/>
      <c r="H385" s="480"/>
      <c r="I385" s="480"/>
      <c r="J385" s="480"/>
      <c r="K385" s="480"/>
      <c r="L385" s="480"/>
      <c r="M385" s="480"/>
      <c r="N385" s="480"/>
      <c r="O385" s="480"/>
      <c r="P385" s="480"/>
      <c r="Q385" s="480"/>
      <c r="R385" s="480"/>
      <c r="S385" s="480"/>
      <c r="T385" s="480"/>
      <c r="U385" s="480"/>
      <c r="V385" s="480"/>
      <c r="W385" s="480"/>
      <c r="X385" s="480"/>
      <c r="Y385" s="480"/>
      <c r="Z385" s="480"/>
      <c r="AA385" s="480"/>
      <c r="AB385" s="480"/>
      <c r="AC385" s="393">
        <f t="shared" si="132"/>
        <v>-7.3170000000000002</v>
      </c>
      <c r="AD385" s="393">
        <f t="shared" si="133"/>
        <v>-100</v>
      </c>
      <c r="AE385" s="393" t="e">
        <f t="shared" si="134"/>
        <v>#DIV/0!</v>
      </c>
      <c r="AF385" s="393" t="e">
        <f t="shared" si="135"/>
        <v>#DIV/0!</v>
      </c>
      <c r="AG385" s="393" t="e">
        <f t="shared" si="136"/>
        <v>#DIV/0!</v>
      </c>
      <c r="AH385" s="393" t="e">
        <f t="shared" si="137"/>
        <v>#DIV/0!</v>
      </c>
      <c r="AI385" s="393" t="e">
        <f t="shared" si="138"/>
        <v>#DIV/0!</v>
      </c>
      <c r="AJ385" s="393" t="e">
        <f t="shared" si="139"/>
        <v>#DIV/0!</v>
      </c>
      <c r="AK385" s="393" t="e">
        <f t="shared" si="140"/>
        <v>#DIV/0!</v>
      </c>
      <c r="AL385" s="393" t="e">
        <f t="shared" si="141"/>
        <v>#DIV/0!</v>
      </c>
      <c r="AM385" s="393" t="e">
        <f t="shared" si="142"/>
        <v>#DIV/0!</v>
      </c>
      <c r="AN385" s="393" t="e">
        <f t="shared" si="143"/>
        <v>#DIV/0!</v>
      </c>
      <c r="AO385" s="393" t="e">
        <f t="shared" si="144"/>
        <v>#DIV/0!</v>
      </c>
      <c r="AP385" s="393" t="e">
        <f t="shared" si="145"/>
        <v>#DIV/0!</v>
      </c>
      <c r="AQ385" s="393" t="e">
        <f t="shared" si="146"/>
        <v>#DIV/0!</v>
      </c>
      <c r="AR385" s="393" t="e">
        <f t="shared" si="147"/>
        <v>#DIV/0!</v>
      </c>
      <c r="AS385" s="393" t="e">
        <f t="shared" si="148"/>
        <v>#DIV/0!</v>
      </c>
      <c r="AT385" s="393" t="e">
        <f t="shared" si="149"/>
        <v>#DIV/0!</v>
      </c>
      <c r="AU385" s="393" t="e">
        <f t="shared" si="150"/>
        <v>#DIV/0!</v>
      </c>
      <c r="AV385" s="393" t="e">
        <f t="shared" si="151"/>
        <v>#DIV/0!</v>
      </c>
      <c r="AW385" s="393" t="e">
        <f t="shared" si="152"/>
        <v>#DIV/0!</v>
      </c>
      <c r="AX385" s="393" t="e">
        <f t="shared" si="153"/>
        <v>#DIV/0!</v>
      </c>
      <c r="AY385" s="393" t="e">
        <f t="shared" si="154"/>
        <v>#DIV/0!</v>
      </c>
      <c r="AZ385" s="393" t="e">
        <f t="shared" si="155"/>
        <v>#DIV/0!</v>
      </c>
      <c r="BA385" s="393" t="e">
        <f t="shared" si="156"/>
        <v>#DIV/0!</v>
      </c>
      <c r="BB385" s="393" t="e">
        <f t="shared" si="157"/>
        <v>#DIV/0!</v>
      </c>
    </row>
    <row r="386" spans="1:54" x14ac:dyDescent="0.25">
      <c r="A386" s="360" t="s">
        <v>2713</v>
      </c>
      <c r="B386" s="480"/>
      <c r="C386" s="480"/>
      <c r="D386" s="480">
        <f>749/1800</f>
        <v>0.41610000000000003</v>
      </c>
      <c r="E386" s="480"/>
      <c r="F386" s="480"/>
      <c r="G386" s="480"/>
      <c r="H386" s="480"/>
      <c r="I386" s="480"/>
      <c r="J386" s="480"/>
      <c r="K386" s="480"/>
      <c r="L386" s="480"/>
      <c r="M386" s="480"/>
      <c r="N386" s="480"/>
      <c r="O386" s="480"/>
      <c r="P386" s="480"/>
      <c r="Q386" s="480"/>
      <c r="R386" s="480"/>
      <c r="S386" s="480"/>
      <c r="T386" s="480"/>
      <c r="U386" s="480"/>
      <c r="V386" s="480"/>
      <c r="W386" s="480"/>
      <c r="X386" s="480"/>
      <c r="Y386" s="480"/>
      <c r="Z386" s="480"/>
      <c r="AA386" s="480"/>
      <c r="AB386" s="480"/>
      <c r="AC386" s="393" t="e">
        <f t="shared" si="132"/>
        <v>#DIV/0!</v>
      </c>
      <c r="AD386" s="393" t="e">
        <f t="shared" si="133"/>
        <v>#DIV/0!</v>
      </c>
      <c r="AE386" s="393">
        <f t="shared" si="134"/>
        <v>-100</v>
      </c>
      <c r="AF386" s="393" t="e">
        <f t="shared" si="135"/>
        <v>#DIV/0!</v>
      </c>
      <c r="AG386" s="393" t="e">
        <f t="shared" si="136"/>
        <v>#DIV/0!</v>
      </c>
      <c r="AH386" s="393" t="e">
        <f t="shared" si="137"/>
        <v>#DIV/0!</v>
      </c>
      <c r="AI386" s="393" t="e">
        <f t="shared" si="138"/>
        <v>#DIV/0!</v>
      </c>
      <c r="AJ386" s="393" t="e">
        <f t="shared" si="139"/>
        <v>#DIV/0!</v>
      </c>
      <c r="AK386" s="393" t="e">
        <f t="shared" si="140"/>
        <v>#DIV/0!</v>
      </c>
      <c r="AL386" s="393" t="e">
        <f t="shared" si="141"/>
        <v>#DIV/0!</v>
      </c>
      <c r="AM386" s="393" t="e">
        <f t="shared" si="142"/>
        <v>#DIV/0!</v>
      </c>
      <c r="AN386" s="393" t="e">
        <f t="shared" si="143"/>
        <v>#DIV/0!</v>
      </c>
      <c r="AO386" s="393" t="e">
        <f t="shared" si="144"/>
        <v>#DIV/0!</v>
      </c>
      <c r="AP386" s="393" t="e">
        <f t="shared" si="145"/>
        <v>#DIV/0!</v>
      </c>
      <c r="AQ386" s="393" t="e">
        <f t="shared" si="146"/>
        <v>#DIV/0!</v>
      </c>
      <c r="AR386" s="393" t="e">
        <f t="shared" si="147"/>
        <v>#DIV/0!</v>
      </c>
      <c r="AS386" s="393" t="e">
        <f t="shared" si="148"/>
        <v>#DIV/0!</v>
      </c>
      <c r="AT386" s="393" t="e">
        <f t="shared" si="149"/>
        <v>#DIV/0!</v>
      </c>
      <c r="AU386" s="393" t="e">
        <f t="shared" si="150"/>
        <v>#DIV/0!</v>
      </c>
      <c r="AV386" s="393" t="e">
        <f t="shared" si="151"/>
        <v>#DIV/0!</v>
      </c>
      <c r="AW386" s="393" t="e">
        <f t="shared" si="152"/>
        <v>#DIV/0!</v>
      </c>
      <c r="AX386" s="393" t="e">
        <f t="shared" si="153"/>
        <v>#DIV/0!</v>
      </c>
      <c r="AY386" s="393" t="e">
        <f t="shared" si="154"/>
        <v>#DIV/0!</v>
      </c>
      <c r="AZ386" s="393" t="e">
        <f t="shared" si="155"/>
        <v>#DIV/0!</v>
      </c>
      <c r="BA386" s="393" t="e">
        <f t="shared" si="156"/>
        <v>#DIV/0!</v>
      </c>
      <c r="BB386" s="393" t="e">
        <f t="shared" si="157"/>
        <v>#DIV/0!</v>
      </c>
    </row>
    <row r="387" spans="1:54" x14ac:dyDescent="0.25">
      <c r="A387" s="361" t="s">
        <v>925</v>
      </c>
      <c r="B387" s="480"/>
      <c r="C387" s="480"/>
      <c r="D387" s="480"/>
      <c r="E387" s="480"/>
      <c r="F387" s="480"/>
      <c r="G387" s="480"/>
      <c r="H387" s="480"/>
      <c r="I387" s="480"/>
      <c r="J387" s="480"/>
      <c r="K387" s="480"/>
      <c r="L387" s="480"/>
      <c r="M387" s="480"/>
      <c r="N387" s="480"/>
      <c r="O387" s="480"/>
      <c r="P387" s="480"/>
      <c r="Q387" s="480"/>
      <c r="R387" s="480"/>
      <c r="S387" s="480"/>
      <c r="T387" s="480"/>
      <c r="U387" s="480"/>
      <c r="V387" s="480"/>
      <c r="W387" s="480">
        <f>721/1200</f>
        <v>0.6008</v>
      </c>
      <c r="X387" s="480"/>
      <c r="Y387" s="480"/>
      <c r="Z387" s="480"/>
      <c r="AA387" s="480"/>
      <c r="AB387" s="480"/>
      <c r="AC387" s="393" t="e">
        <f t="shared" si="132"/>
        <v>#DIV/0!</v>
      </c>
      <c r="AD387" s="393" t="e">
        <f t="shared" si="133"/>
        <v>#DIV/0!</v>
      </c>
      <c r="AE387" s="393" t="e">
        <f t="shared" si="134"/>
        <v>#DIV/0!</v>
      </c>
      <c r="AF387" s="393" t="e">
        <f t="shared" si="135"/>
        <v>#DIV/0!</v>
      </c>
      <c r="AG387" s="393" t="e">
        <f t="shared" si="136"/>
        <v>#DIV/0!</v>
      </c>
      <c r="AH387" s="393" t="e">
        <f t="shared" si="137"/>
        <v>#DIV/0!</v>
      </c>
      <c r="AI387" s="393" t="e">
        <f t="shared" si="138"/>
        <v>#DIV/0!</v>
      </c>
      <c r="AJ387" s="393" t="e">
        <f t="shared" si="139"/>
        <v>#DIV/0!</v>
      </c>
      <c r="AK387" s="393" t="e">
        <f t="shared" si="140"/>
        <v>#DIV/0!</v>
      </c>
      <c r="AL387" s="393" t="e">
        <f t="shared" si="141"/>
        <v>#DIV/0!</v>
      </c>
      <c r="AM387" s="393" t="e">
        <f t="shared" si="142"/>
        <v>#DIV/0!</v>
      </c>
      <c r="AN387" s="393" t="e">
        <f t="shared" si="143"/>
        <v>#DIV/0!</v>
      </c>
      <c r="AO387" s="393" t="e">
        <f t="shared" si="144"/>
        <v>#DIV/0!</v>
      </c>
      <c r="AP387" s="393" t="e">
        <f t="shared" si="145"/>
        <v>#DIV/0!</v>
      </c>
      <c r="AQ387" s="393" t="e">
        <f t="shared" si="146"/>
        <v>#DIV/0!</v>
      </c>
      <c r="AR387" s="393" t="e">
        <f t="shared" si="147"/>
        <v>#DIV/0!</v>
      </c>
      <c r="AS387" s="393" t="e">
        <f t="shared" si="148"/>
        <v>#DIV/0!</v>
      </c>
      <c r="AT387" s="393" t="e">
        <f t="shared" si="149"/>
        <v>#DIV/0!</v>
      </c>
      <c r="AU387" s="393" t="e">
        <f t="shared" si="150"/>
        <v>#DIV/0!</v>
      </c>
      <c r="AV387" s="393" t="e">
        <f t="shared" si="151"/>
        <v>#DIV/0!</v>
      </c>
      <c r="AW387" s="393" t="e">
        <f t="shared" si="152"/>
        <v>#DIV/0!</v>
      </c>
      <c r="AX387" s="393">
        <f t="shared" si="153"/>
        <v>-100</v>
      </c>
      <c r="AY387" s="393" t="e">
        <f t="shared" si="154"/>
        <v>#DIV/0!</v>
      </c>
      <c r="AZ387" s="393" t="e">
        <f t="shared" si="155"/>
        <v>#DIV/0!</v>
      </c>
      <c r="BA387" s="393" t="e">
        <f t="shared" si="156"/>
        <v>#DIV/0!</v>
      </c>
      <c r="BB387" s="393" t="e">
        <f t="shared" si="157"/>
        <v>#DIV/0!</v>
      </c>
    </row>
    <row r="388" spans="1:54" x14ac:dyDescent="0.25">
      <c r="A388" s="361" t="s">
        <v>2868</v>
      </c>
      <c r="B388" s="480"/>
      <c r="C388" s="480"/>
      <c r="D388" s="480"/>
      <c r="E388" s="480"/>
      <c r="F388" s="480"/>
      <c r="G388" s="480"/>
      <c r="H388" s="480"/>
      <c r="I388" s="480"/>
      <c r="J388" s="480"/>
      <c r="K388" s="480"/>
      <c r="L388" s="480"/>
      <c r="M388" s="480"/>
      <c r="N388" s="480"/>
      <c r="O388" s="480"/>
      <c r="P388" s="480"/>
      <c r="Q388" s="480"/>
      <c r="R388" s="480"/>
      <c r="S388" s="480"/>
      <c r="T388" s="480"/>
      <c r="U388" s="480"/>
      <c r="V388" s="480">
        <f>742/1200</f>
        <v>0.61829999999999996</v>
      </c>
      <c r="W388" s="480">
        <f>768/1200</f>
        <v>0.64</v>
      </c>
      <c r="X388" s="480">
        <f>1147/1800</f>
        <v>0.63719999999999999</v>
      </c>
      <c r="Y388" s="480">
        <f>1175/1800</f>
        <v>0.65280000000000005</v>
      </c>
      <c r="Z388" s="480"/>
      <c r="AA388" s="480"/>
      <c r="AB388" s="480"/>
      <c r="AC388" s="393" t="e">
        <f t="shared" si="132"/>
        <v>#DIV/0!</v>
      </c>
      <c r="AD388" s="393" t="e">
        <f t="shared" si="133"/>
        <v>#DIV/0!</v>
      </c>
      <c r="AE388" s="393" t="e">
        <f t="shared" si="134"/>
        <v>#DIV/0!</v>
      </c>
      <c r="AF388" s="393" t="e">
        <f t="shared" si="135"/>
        <v>#DIV/0!</v>
      </c>
      <c r="AG388" s="393" t="e">
        <f t="shared" si="136"/>
        <v>#DIV/0!</v>
      </c>
      <c r="AH388" s="393" t="e">
        <f t="shared" si="137"/>
        <v>#DIV/0!</v>
      </c>
      <c r="AI388" s="393" t="e">
        <f t="shared" si="138"/>
        <v>#DIV/0!</v>
      </c>
      <c r="AJ388" s="393" t="e">
        <f t="shared" si="139"/>
        <v>#DIV/0!</v>
      </c>
      <c r="AK388" s="393" t="e">
        <f t="shared" si="140"/>
        <v>#DIV/0!</v>
      </c>
      <c r="AL388" s="393" t="e">
        <f t="shared" si="141"/>
        <v>#DIV/0!</v>
      </c>
      <c r="AM388" s="393" t="e">
        <f t="shared" si="142"/>
        <v>#DIV/0!</v>
      </c>
      <c r="AN388" s="393" t="e">
        <f t="shared" si="143"/>
        <v>#DIV/0!</v>
      </c>
      <c r="AO388" s="393" t="e">
        <f t="shared" si="144"/>
        <v>#DIV/0!</v>
      </c>
      <c r="AP388" s="393" t="e">
        <f t="shared" si="145"/>
        <v>#DIV/0!</v>
      </c>
      <c r="AQ388" s="393" t="e">
        <f t="shared" si="146"/>
        <v>#DIV/0!</v>
      </c>
      <c r="AR388" s="393" t="e">
        <f t="shared" si="147"/>
        <v>#DIV/0!</v>
      </c>
      <c r="AS388" s="393" t="e">
        <f t="shared" si="148"/>
        <v>#DIV/0!</v>
      </c>
      <c r="AT388" s="393" t="e">
        <f t="shared" si="149"/>
        <v>#DIV/0!</v>
      </c>
      <c r="AU388" s="393" t="e">
        <f t="shared" si="150"/>
        <v>#DIV/0!</v>
      </c>
      <c r="AV388" s="393" t="e">
        <f t="shared" si="151"/>
        <v>#DIV/0!</v>
      </c>
      <c r="AW388" s="393">
        <f t="shared" si="152"/>
        <v>3.51</v>
      </c>
      <c r="AX388" s="393">
        <f t="shared" si="153"/>
        <v>-0.438</v>
      </c>
      <c r="AY388" s="393">
        <f t="shared" si="154"/>
        <v>2.448</v>
      </c>
      <c r="AZ388" s="393">
        <f t="shared" si="155"/>
        <v>-100</v>
      </c>
      <c r="BA388" s="393" t="e">
        <f t="shared" si="156"/>
        <v>#DIV/0!</v>
      </c>
      <c r="BB388" s="393" t="e">
        <f t="shared" si="157"/>
        <v>#DIV/0!</v>
      </c>
    </row>
    <row r="389" spans="1:54" x14ac:dyDescent="0.25">
      <c r="A389" s="565" t="s">
        <v>3946</v>
      </c>
      <c r="B389" s="480">
        <f>1115/1800</f>
        <v>0.61939999999999995</v>
      </c>
      <c r="C389" s="480">
        <f>1366/1800</f>
        <v>0.75890000000000002</v>
      </c>
      <c r="D389" s="480"/>
      <c r="E389" s="480"/>
      <c r="F389" s="480"/>
      <c r="G389" s="480"/>
      <c r="H389" s="480"/>
      <c r="I389" s="480"/>
      <c r="J389" s="480"/>
      <c r="K389" s="480"/>
      <c r="L389" s="480"/>
      <c r="M389" s="480"/>
      <c r="N389" s="480"/>
      <c r="O389" s="480"/>
      <c r="P389" s="480"/>
      <c r="Q389" s="480"/>
      <c r="R389" s="480"/>
      <c r="S389" s="480"/>
      <c r="T389" s="480"/>
      <c r="U389" s="480"/>
      <c r="V389" s="480"/>
      <c r="W389" s="480"/>
      <c r="X389" s="480"/>
      <c r="Y389" s="480"/>
      <c r="Z389" s="480"/>
      <c r="AA389" s="480"/>
      <c r="AB389" s="480"/>
      <c r="AC389" s="393">
        <f t="shared" ref="AC389:AC441" si="158">(+C389-B389)/B389*100</f>
        <v>22.521999999999998</v>
      </c>
      <c r="AD389" s="393">
        <f t="shared" ref="AD389:AD441" si="159">(+D389-C389)/C389*100</f>
        <v>-100</v>
      </c>
      <c r="AE389" s="393" t="e">
        <f t="shared" ref="AE389:AE441" si="160">(+E389-D389)/D389*100</f>
        <v>#DIV/0!</v>
      </c>
      <c r="AF389" s="393" t="e">
        <f t="shared" ref="AF389:AF441" si="161">(+F389-E389)/E389*100</f>
        <v>#DIV/0!</v>
      </c>
      <c r="AG389" s="393" t="e">
        <f t="shared" ref="AG389:AG441" si="162">(+G389-F389)/F389*100</f>
        <v>#DIV/0!</v>
      </c>
      <c r="AH389" s="393" t="e">
        <f t="shared" ref="AH389:AH441" si="163">(+H389-G389)/G389*100</f>
        <v>#DIV/0!</v>
      </c>
      <c r="AI389" s="393" t="e">
        <f t="shared" ref="AI389:AI441" si="164">(+I389-H389)/H389*100</f>
        <v>#DIV/0!</v>
      </c>
      <c r="AJ389" s="393" t="e">
        <f t="shared" ref="AJ389:AJ441" si="165">(+J389-I389)/I389*100</f>
        <v>#DIV/0!</v>
      </c>
      <c r="AK389" s="393" t="e">
        <f t="shared" ref="AK389:AK441" si="166">(+K389-J389)/J389*100</f>
        <v>#DIV/0!</v>
      </c>
      <c r="AL389" s="393" t="e">
        <f t="shared" ref="AL389:AL441" si="167">(+L389-K389)/K389*100</f>
        <v>#DIV/0!</v>
      </c>
      <c r="AM389" s="393" t="e">
        <f t="shared" ref="AM389:AM441" si="168">(+M389-L389)/L389*100</f>
        <v>#DIV/0!</v>
      </c>
      <c r="AN389" s="393" t="e">
        <f t="shared" ref="AN389:AN441" si="169">(+N389-M389)/M389*100</f>
        <v>#DIV/0!</v>
      </c>
      <c r="AO389" s="393" t="e">
        <f t="shared" ref="AO389:AO441" si="170">(+O389-N389)/N389*100</f>
        <v>#DIV/0!</v>
      </c>
      <c r="AP389" s="393" t="e">
        <f t="shared" ref="AP389:AP441" si="171">(+P389-O389)/O389*100</f>
        <v>#DIV/0!</v>
      </c>
      <c r="AQ389" s="393" t="e">
        <f t="shared" ref="AQ389:AQ441" si="172">(+Q389-P389)/P389*100</f>
        <v>#DIV/0!</v>
      </c>
      <c r="AR389" s="393" t="e">
        <f t="shared" ref="AR389:AR441" si="173">(+R389-Q389)/Q389*100</f>
        <v>#DIV/0!</v>
      </c>
      <c r="AS389" s="393" t="e">
        <f t="shared" ref="AS389:AS441" si="174">(+S389-R389)/R389*100</f>
        <v>#DIV/0!</v>
      </c>
      <c r="AT389" s="393" t="e">
        <f t="shared" ref="AT389:AT441" si="175">(+T389-S389)/S389*100</f>
        <v>#DIV/0!</v>
      </c>
      <c r="AU389" s="393" t="e">
        <f t="shared" ref="AU389:AU441" si="176">(+U389-T389)/T389*100</f>
        <v>#DIV/0!</v>
      </c>
      <c r="AV389" s="393" t="e">
        <f t="shared" ref="AV389:AV441" si="177">(+V389-U389)/U389*100</f>
        <v>#DIV/0!</v>
      </c>
      <c r="AW389" s="393" t="e">
        <f t="shared" ref="AW389:AW441" si="178">(+W389-V389)/V389*100</f>
        <v>#DIV/0!</v>
      </c>
      <c r="AX389" s="393" t="e">
        <f t="shared" ref="AX389:AX441" si="179">(+X389-W389)/W389*100</f>
        <v>#DIV/0!</v>
      </c>
      <c r="AY389" s="393" t="e">
        <f t="shared" ref="AY389:AY441" si="180">(+Y389-X389)/X389*100</f>
        <v>#DIV/0!</v>
      </c>
      <c r="AZ389" s="393" t="e">
        <f t="shared" ref="AZ389:AZ441" si="181">(+Z389-Y389)/Y389*100</f>
        <v>#DIV/0!</v>
      </c>
      <c r="BA389" s="393" t="e">
        <f t="shared" ref="BA389:BA441" si="182">(+AA389-Z389)/Z389*100</f>
        <v>#DIV/0!</v>
      </c>
      <c r="BB389" s="393" t="e">
        <f t="shared" ref="BB389:BB441" si="183">(+AB389-AA389)/AA389*100</f>
        <v>#DIV/0!</v>
      </c>
    </row>
    <row r="390" spans="1:54" x14ac:dyDescent="0.25">
      <c r="A390" s="361" t="s">
        <v>3611</v>
      </c>
      <c r="B390" s="480"/>
      <c r="C390" s="480"/>
      <c r="D390" s="480"/>
      <c r="E390" s="480"/>
      <c r="F390" s="480"/>
      <c r="G390" s="480"/>
      <c r="H390" s="480"/>
      <c r="I390" s="480"/>
      <c r="J390" s="480"/>
      <c r="K390" s="480"/>
      <c r="L390" s="480"/>
      <c r="M390" s="480"/>
      <c r="N390" s="480"/>
      <c r="O390" s="480"/>
      <c r="P390" s="480">
        <f>1142/1800</f>
        <v>0.63439999999999996</v>
      </c>
      <c r="Q390" s="480"/>
      <c r="R390" s="480"/>
      <c r="S390" s="480"/>
      <c r="T390" s="480"/>
      <c r="U390" s="480"/>
      <c r="V390" s="480"/>
      <c r="W390" s="480"/>
      <c r="X390" s="480"/>
      <c r="Y390" s="480"/>
      <c r="Z390" s="480"/>
      <c r="AA390" s="480"/>
      <c r="AB390" s="480"/>
      <c r="AC390" s="393" t="e">
        <f t="shared" si="158"/>
        <v>#DIV/0!</v>
      </c>
      <c r="AD390" s="393" t="e">
        <f t="shared" si="159"/>
        <v>#DIV/0!</v>
      </c>
      <c r="AE390" s="393" t="e">
        <f t="shared" si="160"/>
        <v>#DIV/0!</v>
      </c>
      <c r="AF390" s="393" t="e">
        <f t="shared" si="161"/>
        <v>#DIV/0!</v>
      </c>
      <c r="AG390" s="393" t="e">
        <f t="shared" si="162"/>
        <v>#DIV/0!</v>
      </c>
      <c r="AH390" s="393" t="e">
        <f t="shared" si="163"/>
        <v>#DIV/0!</v>
      </c>
      <c r="AI390" s="393" t="e">
        <f t="shared" si="164"/>
        <v>#DIV/0!</v>
      </c>
      <c r="AJ390" s="393" t="e">
        <f t="shared" si="165"/>
        <v>#DIV/0!</v>
      </c>
      <c r="AK390" s="393" t="e">
        <f t="shared" si="166"/>
        <v>#DIV/0!</v>
      </c>
      <c r="AL390" s="393" t="e">
        <f t="shared" si="167"/>
        <v>#DIV/0!</v>
      </c>
      <c r="AM390" s="393" t="e">
        <f t="shared" si="168"/>
        <v>#DIV/0!</v>
      </c>
      <c r="AN390" s="393" t="e">
        <f t="shared" si="169"/>
        <v>#DIV/0!</v>
      </c>
      <c r="AO390" s="393" t="e">
        <f t="shared" si="170"/>
        <v>#DIV/0!</v>
      </c>
      <c r="AP390" s="393" t="e">
        <f t="shared" si="171"/>
        <v>#DIV/0!</v>
      </c>
      <c r="AQ390" s="393">
        <f t="shared" si="172"/>
        <v>-100</v>
      </c>
      <c r="AR390" s="393" t="e">
        <f t="shared" si="173"/>
        <v>#DIV/0!</v>
      </c>
      <c r="AS390" s="393" t="e">
        <f t="shared" si="174"/>
        <v>#DIV/0!</v>
      </c>
      <c r="AT390" s="393" t="e">
        <f t="shared" si="175"/>
        <v>#DIV/0!</v>
      </c>
      <c r="AU390" s="393" t="e">
        <f t="shared" si="176"/>
        <v>#DIV/0!</v>
      </c>
      <c r="AV390" s="393" t="e">
        <f t="shared" si="177"/>
        <v>#DIV/0!</v>
      </c>
      <c r="AW390" s="393" t="e">
        <f t="shared" si="178"/>
        <v>#DIV/0!</v>
      </c>
      <c r="AX390" s="393" t="e">
        <f t="shared" si="179"/>
        <v>#DIV/0!</v>
      </c>
      <c r="AY390" s="393" t="e">
        <f t="shared" si="180"/>
        <v>#DIV/0!</v>
      </c>
      <c r="AZ390" s="393" t="e">
        <f t="shared" si="181"/>
        <v>#DIV/0!</v>
      </c>
      <c r="BA390" s="393" t="e">
        <f t="shared" si="182"/>
        <v>#DIV/0!</v>
      </c>
      <c r="BB390" s="393" t="e">
        <f t="shared" si="183"/>
        <v>#DIV/0!</v>
      </c>
    </row>
    <row r="391" spans="1:54" x14ac:dyDescent="0.25">
      <c r="A391" s="361" t="s">
        <v>3879</v>
      </c>
      <c r="B391" s="480"/>
      <c r="C391" s="480"/>
      <c r="D391" s="480"/>
      <c r="E391" s="480"/>
      <c r="F391" s="480"/>
      <c r="G391" s="480"/>
      <c r="H391" s="480"/>
      <c r="I391" s="480"/>
      <c r="J391" s="480"/>
      <c r="K391" s="480"/>
      <c r="L391" s="480"/>
      <c r="M391" s="480"/>
      <c r="N391" s="480"/>
      <c r="O391" s="480"/>
      <c r="P391" s="480"/>
      <c r="Q391" s="480">
        <f>1086/1800</f>
        <v>0.60329999999999995</v>
      </c>
      <c r="R391" s="480">
        <f>1100/1800</f>
        <v>0.61109999999999998</v>
      </c>
      <c r="S391" s="480"/>
      <c r="T391" s="480"/>
      <c r="U391" s="480"/>
      <c r="V391" s="480"/>
      <c r="W391" s="480"/>
      <c r="X391" s="480"/>
      <c r="Y391" s="480"/>
      <c r="Z391" s="480"/>
      <c r="AA391" s="480"/>
      <c r="AB391" s="480"/>
      <c r="AC391" s="393" t="e">
        <f t="shared" si="158"/>
        <v>#DIV/0!</v>
      </c>
      <c r="AD391" s="393" t="e">
        <f t="shared" si="159"/>
        <v>#DIV/0!</v>
      </c>
      <c r="AE391" s="393" t="e">
        <f t="shared" si="160"/>
        <v>#DIV/0!</v>
      </c>
      <c r="AF391" s="393" t="e">
        <f t="shared" si="161"/>
        <v>#DIV/0!</v>
      </c>
      <c r="AG391" s="393" t="e">
        <f t="shared" si="162"/>
        <v>#DIV/0!</v>
      </c>
      <c r="AH391" s="393" t="e">
        <f t="shared" si="163"/>
        <v>#DIV/0!</v>
      </c>
      <c r="AI391" s="393" t="e">
        <f t="shared" si="164"/>
        <v>#DIV/0!</v>
      </c>
      <c r="AJ391" s="393" t="e">
        <f t="shared" si="165"/>
        <v>#DIV/0!</v>
      </c>
      <c r="AK391" s="393" t="e">
        <f t="shared" si="166"/>
        <v>#DIV/0!</v>
      </c>
      <c r="AL391" s="393" t="e">
        <f t="shared" si="167"/>
        <v>#DIV/0!</v>
      </c>
      <c r="AM391" s="393" t="e">
        <f t="shared" si="168"/>
        <v>#DIV/0!</v>
      </c>
      <c r="AN391" s="393" t="e">
        <f t="shared" si="169"/>
        <v>#DIV/0!</v>
      </c>
      <c r="AO391" s="393" t="e">
        <f t="shared" si="170"/>
        <v>#DIV/0!</v>
      </c>
      <c r="AP391" s="393" t="e">
        <f t="shared" si="171"/>
        <v>#DIV/0!</v>
      </c>
      <c r="AQ391" s="393" t="e">
        <f t="shared" si="172"/>
        <v>#DIV/0!</v>
      </c>
      <c r="AR391" s="393">
        <f t="shared" si="173"/>
        <v>1.2929999999999999</v>
      </c>
      <c r="AS391" s="393">
        <f t="shared" si="174"/>
        <v>-100</v>
      </c>
      <c r="AT391" s="393" t="e">
        <f t="shared" si="175"/>
        <v>#DIV/0!</v>
      </c>
      <c r="AU391" s="393" t="e">
        <f t="shared" si="176"/>
        <v>#DIV/0!</v>
      </c>
      <c r="AV391" s="393" t="e">
        <f t="shared" si="177"/>
        <v>#DIV/0!</v>
      </c>
      <c r="AW391" s="393" t="e">
        <f t="shared" si="178"/>
        <v>#DIV/0!</v>
      </c>
      <c r="AX391" s="393" t="e">
        <f t="shared" si="179"/>
        <v>#DIV/0!</v>
      </c>
      <c r="AY391" s="393" t="e">
        <f t="shared" si="180"/>
        <v>#DIV/0!</v>
      </c>
      <c r="AZ391" s="393" t="e">
        <f t="shared" si="181"/>
        <v>#DIV/0!</v>
      </c>
      <c r="BA391" s="393" t="e">
        <f t="shared" si="182"/>
        <v>#DIV/0!</v>
      </c>
      <c r="BB391" s="393" t="e">
        <f t="shared" si="183"/>
        <v>#DIV/0!</v>
      </c>
    </row>
    <row r="392" spans="1:54" x14ac:dyDescent="0.25">
      <c r="A392" s="361" t="s">
        <v>1791</v>
      </c>
      <c r="B392" s="480"/>
      <c r="C392" s="480"/>
      <c r="D392" s="480"/>
      <c r="E392" s="480"/>
      <c r="F392" s="480"/>
      <c r="G392" s="480"/>
      <c r="H392" s="480"/>
      <c r="I392" s="480"/>
      <c r="J392" s="480"/>
      <c r="K392" s="480"/>
      <c r="L392" s="480"/>
      <c r="M392" s="480"/>
      <c r="N392" s="480"/>
      <c r="O392" s="480"/>
      <c r="P392" s="480"/>
      <c r="Q392" s="480"/>
      <c r="R392" s="480">
        <f>1229/1800</f>
        <v>0.68279999999999996</v>
      </c>
      <c r="S392" s="480">
        <f>1191/1800</f>
        <v>0.66169999999999995</v>
      </c>
      <c r="T392" s="480"/>
      <c r="U392" s="480"/>
      <c r="V392" s="480"/>
      <c r="W392" s="480"/>
      <c r="X392" s="480"/>
      <c r="Y392" s="480"/>
      <c r="Z392" s="480"/>
      <c r="AA392" s="480"/>
      <c r="AB392" s="480"/>
      <c r="AC392" s="393" t="e">
        <f t="shared" si="158"/>
        <v>#DIV/0!</v>
      </c>
      <c r="AD392" s="393" t="e">
        <f t="shared" si="159"/>
        <v>#DIV/0!</v>
      </c>
      <c r="AE392" s="393" t="e">
        <f t="shared" si="160"/>
        <v>#DIV/0!</v>
      </c>
      <c r="AF392" s="393" t="e">
        <f t="shared" si="161"/>
        <v>#DIV/0!</v>
      </c>
      <c r="AG392" s="393" t="e">
        <f t="shared" si="162"/>
        <v>#DIV/0!</v>
      </c>
      <c r="AH392" s="393" t="e">
        <f t="shared" si="163"/>
        <v>#DIV/0!</v>
      </c>
      <c r="AI392" s="393" t="e">
        <f t="shared" si="164"/>
        <v>#DIV/0!</v>
      </c>
      <c r="AJ392" s="393" t="e">
        <f t="shared" si="165"/>
        <v>#DIV/0!</v>
      </c>
      <c r="AK392" s="393" t="e">
        <f t="shared" si="166"/>
        <v>#DIV/0!</v>
      </c>
      <c r="AL392" s="393" t="e">
        <f t="shared" si="167"/>
        <v>#DIV/0!</v>
      </c>
      <c r="AM392" s="393" t="e">
        <f t="shared" si="168"/>
        <v>#DIV/0!</v>
      </c>
      <c r="AN392" s="393" t="e">
        <f t="shared" si="169"/>
        <v>#DIV/0!</v>
      </c>
      <c r="AO392" s="393" t="e">
        <f t="shared" si="170"/>
        <v>#DIV/0!</v>
      </c>
      <c r="AP392" s="393" t="e">
        <f t="shared" si="171"/>
        <v>#DIV/0!</v>
      </c>
      <c r="AQ392" s="393" t="e">
        <f t="shared" si="172"/>
        <v>#DIV/0!</v>
      </c>
      <c r="AR392" s="393" t="e">
        <f t="shared" si="173"/>
        <v>#DIV/0!</v>
      </c>
      <c r="AS392" s="393">
        <f t="shared" si="174"/>
        <v>-3.09</v>
      </c>
      <c r="AT392" s="393">
        <f t="shared" si="175"/>
        <v>-100</v>
      </c>
      <c r="AU392" s="393" t="e">
        <f t="shared" si="176"/>
        <v>#DIV/0!</v>
      </c>
      <c r="AV392" s="393" t="e">
        <f t="shared" si="177"/>
        <v>#DIV/0!</v>
      </c>
      <c r="AW392" s="393" t="e">
        <f t="shared" si="178"/>
        <v>#DIV/0!</v>
      </c>
      <c r="AX392" s="393" t="e">
        <f t="shared" si="179"/>
        <v>#DIV/0!</v>
      </c>
      <c r="AY392" s="393" t="e">
        <f t="shared" si="180"/>
        <v>#DIV/0!</v>
      </c>
      <c r="AZ392" s="393" t="e">
        <f t="shared" si="181"/>
        <v>#DIV/0!</v>
      </c>
      <c r="BA392" s="393" t="e">
        <f t="shared" si="182"/>
        <v>#DIV/0!</v>
      </c>
      <c r="BB392" s="393" t="e">
        <f t="shared" si="183"/>
        <v>#DIV/0!</v>
      </c>
    </row>
    <row r="393" spans="1:54" x14ac:dyDescent="0.25">
      <c r="A393" s="360" t="s">
        <v>4800</v>
      </c>
      <c r="B393" s="480"/>
      <c r="C393" s="480"/>
      <c r="D393" s="480"/>
      <c r="E393" s="480"/>
      <c r="F393" s="480"/>
      <c r="G393" s="480"/>
      <c r="H393" s="480"/>
      <c r="I393" s="480"/>
      <c r="J393" s="480"/>
      <c r="K393" s="480"/>
      <c r="L393" s="480"/>
      <c r="M393" s="480"/>
      <c r="N393" s="480"/>
      <c r="O393" s="480"/>
      <c r="P393" s="480"/>
      <c r="Q393" s="480"/>
      <c r="R393" s="480"/>
      <c r="S393" s="480"/>
      <c r="T393" s="480"/>
      <c r="U393" s="480"/>
      <c r="V393" s="480"/>
      <c r="W393" s="480"/>
      <c r="X393" s="480"/>
      <c r="Y393" s="480"/>
      <c r="Z393" s="480"/>
      <c r="AA393" s="480"/>
      <c r="AB393" s="480">
        <v>0.77500000000000002</v>
      </c>
      <c r="AC393" s="393" t="e">
        <f t="shared" si="158"/>
        <v>#DIV/0!</v>
      </c>
      <c r="AD393" s="393" t="e">
        <f t="shared" si="159"/>
        <v>#DIV/0!</v>
      </c>
      <c r="AE393" s="393" t="e">
        <f t="shared" si="160"/>
        <v>#DIV/0!</v>
      </c>
      <c r="AF393" s="393" t="e">
        <f t="shared" si="161"/>
        <v>#DIV/0!</v>
      </c>
      <c r="AG393" s="393" t="e">
        <f t="shared" si="162"/>
        <v>#DIV/0!</v>
      </c>
      <c r="AH393" s="393" t="e">
        <f t="shared" si="163"/>
        <v>#DIV/0!</v>
      </c>
      <c r="AI393" s="393" t="e">
        <f t="shared" si="164"/>
        <v>#DIV/0!</v>
      </c>
      <c r="AJ393" s="393" t="e">
        <f t="shared" si="165"/>
        <v>#DIV/0!</v>
      </c>
      <c r="AK393" s="393" t="e">
        <f t="shared" si="166"/>
        <v>#DIV/0!</v>
      </c>
      <c r="AL393" s="393" t="e">
        <f t="shared" si="167"/>
        <v>#DIV/0!</v>
      </c>
      <c r="AM393" s="393" t="e">
        <f t="shared" si="168"/>
        <v>#DIV/0!</v>
      </c>
      <c r="AN393" s="393" t="e">
        <f t="shared" si="169"/>
        <v>#DIV/0!</v>
      </c>
      <c r="AO393" s="393" t="e">
        <f t="shared" si="170"/>
        <v>#DIV/0!</v>
      </c>
      <c r="AP393" s="393" t="e">
        <f t="shared" si="171"/>
        <v>#DIV/0!</v>
      </c>
      <c r="AQ393" s="393" t="e">
        <f t="shared" si="172"/>
        <v>#DIV/0!</v>
      </c>
      <c r="AR393" s="393" t="e">
        <f t="shared" si="173"/>
        <v>#DIV/0!</v>
      </c>
      <c r="AS393" s="393" t="e">
        <f t="shared" si="174"/>
        <v>#DIV/0!</v>
      </c>
      <c r="AT393" s="393" t="e">
        <f t="shared" si="175"/>
        <v>#DIV/0!</v>
      </c>
      <c r="AU393" s="393" t="e">
        <f t="shared" si="176"/>
        <v>#DIV/0!</v>
      </c>
      <c r="AV393" s="393" t="e">
        <f t="shared" si="177"/>
        <v>#DIV/0!</v>
      </c>
      <c r="AW393" s="393" t="e">
        <f t="shared" si="178"/>
        <v>#DIV/0!</v>
      </c>
      <c r="AX393" s="393" t="e">
        <f t="shared" si="179"/>
        <v>#DIV/0!</v>
      </c>
      <c r="AY393" s="393" t="e">
        <f t="shared" si="180"/>
        <v>#DIV/0!</v>
      </c>
      <c r="AZ393" s="393" t="e">
        <f t="shared" si="181"/>
        <v>#DIV/0!</v>
      </c>
      <c r="BA393" s="393" t="e">
        <f t="shared" si="182"/>
        <v>#DIV/0!</v>
      </c>
      <c r="BB393" s="393" t="e">
        <f t="shared" si="183"/>
        <v>#DIV/0!</v>
      </c>
    </row>
    <row r="394" spans="1:54" x14ac:dyDescent="0.25">
      <c r="A394" s="361" t="s">
        <v>2865</v>
      </c>
      <c r="B394" s="480"/>
      <c r="C394" s="480"/>
      <c r="D394" s="480"/>
      <c r="E394" s="480"/>
      <c r="F394" s="480"/>
      <c r="G394" s="480"/>
      <c r="H394" s="480"/>
      <c r="I394" s="480"/>
      <c r="J394" s="480"/>
      <c r="K394" s="480"/>
      <c r="L394" s="480"/>
      <c r="M394" s="480"/>
      <c r="N394" s="480"/>
      <c r="O394" s="480"/>
      <c r="P394" s="480"/>
      <c r="Q394" s="480"/>
      <c r="R394" s="480"/>
      <c r="S394" s="480"/>
      <c r="T394" s="480"/>
      <c r="U394" s="480"/>
      <c r="V394" s="481">
        <f>774/1200</f>
        <v>0.64500000000000002</v>
      </c>
      <c r="W394" s="481">
        <f>852/1200</f>
        <v>0.71</v>
      </c>
      <c r="X394" s="481"/>
      <c r="Y394" s="481"/>
      <c r="Z394" s="481"/>
      <c r="AA394" s="481"/>
      <c r="AB394" s="481"/>
      <c r="AC394" s="393" t="e">
        <f t="shared" si="158"/>
        <v>#DIV/0!</v>
      </c>
      <c r="AD394" s="393" t="e">
        <f t="shared" si="159"/>
        <v>#DIV/0!</v>
      </c>
      <c r="AE394" s="393" t="e">
        <f t="shared" si="160"/>
        <v>#DIV/0!</v>
      </c>
      <c r="AF394" s="393" t="e">
        <f t="shared" si="161"/>
        <v>#DIV/0!</v>
      </c>
      <c r="AG394" s="393" t="e">
        <f t="shared" si="162"/>
        <v>#DIV/0!</v>
      </c>
      <c r="AH394" s="393" t="e">
        <f t="shared" si="163"/>
        <v>#DIV/0!</v>
      </c>
      <c r="AI394" s="393" t="e">
        <f t="shared" si="164"/>
        <v>#DIV/0!</v>
      </c>
      <c r="AJ394" s="393" t="e">
        <f t="shared" si="165"/>
        <v>#DIV/0!</v>
      </c>
      <c r="AK394" s="393" t="e">
        <f t="shared" si="166"/>
        <v>#DIV/0!</v>
      </c>
      <c r="AL394" s="393" t="e">
        <f t="shared" si="167"/>
        <v>#DIV/0!</v>
      </c>
      <c r="AM394" s="393" t="e">
        <f t="shared" si="168"/>
        <v>#DIV/0!</v>
      </c>
      <c r="AN394" s="393" t="e">
        <f t="shared" si="169"/>
        <v>#DIV/0!</v>
      </c>
      <c r="AO394" s="393" t="e">
        <f t="shared" si="170"/>
        <v>#DIV/0!</v>
      </c>
      <c r="AP394" s="393" t="e">
        <f t="shared" si="171"/>
        <v>#DIV/0!</v>
      </c>
      <c r="AQ394" s="393" t="e">
        <f t="shared" si="172"/>
        <v>#DIV/0!</v>
      </c>
      <c r="AR394" s="393" t="e">
        <f t="shared" si="173"/>
        <v>#DIV/0!</v>
      </c>
      <c r="AS394" s="393" t="e">
        <f t="shared" si="174"/>
        <v>#DIV/0!</v>
      </c>
      <c r="AT394" s="393" t="e">
        <f t="shared" si="175"/>
        <v>#DIV/0!</v>
      </c>
      <c r="AU394" s="393" t="e">
        <f t="shared" si="176"/>
        <v>#DIV/0!</v>
      </c>
      <c r="AV394" s="393" t="e">
        <f t="shared" si="177"/>
        <v>#DIV/0!</v>
      </c>
      <c r="AW394" s="393">
        <f t="shared" si="178"/>
        <v>10.077999999999999</v>
      </c>
      <c r="AX394" s="393">
        <f t="shared" si="179"/>
        <v>-100</v>
      </c>
      <c r="AY394" s="393" t="e">
        <f t="shared" si="180"/>
        <v>#DIV/0!</v>
      </c>
      <c r="AZ394" s="393" t="e">
        <f t="shared" si="181"/>
        <v>#DIV/0!</v>
      </c>
      <c r="BA394" s="393" t="e">
        <f t="shared" si="182"/>
        <v>#DIV/0!</v>
      </c>
      <c r="BB394" s="393" t="e">
        <f t="shared" si="183"/>
        <v>#DIV/0!</v>
      </c>
    </row>
    <row r="395" spans="1:54" x14ac:dyDescent="0.25">
      <c r="A395" s="361" t="s">
        <v>1588</v>
      </c>
      <c r="B395" s="480"/>
      <c r="C395" s="480"/>
      <c r="D395" s="480"/>
      <c r="E395" s="480"/>
      <c r="F395" s="480"/>
      <c r="G395" s="480"/>
      <c r="H395" s="480"/>
      <c r="I395" s="480"/>
      <c r="J395" s="480"/>
      <c r="K395" s="480"/>
      <c r="L395" s="480"/>
      <c r="M395" s="480"/>
      <c r="N395" s="480"/>
      <c r="O395" s="480"/>
      <c r="P395" s="480"/>
      <c r="Q395" s="480"/>
      <c r="R395" s="480">
        <f>1069/1800</f>
        <v>0.59389999999999998</v>
      </c>
      <c r="S395" s="480"/>
      <c r="T395" s="480"/>
      <c r="U395" s="480"/>
      <c r="V395" s="480"/>
      <c r="W395" s="480"/>
      <c r="X395" s="480"/>
      <c r="Y395" s="480"/>
      <c r="Z395" s="480"/>
      <c r="AA395" s="480"/>
      <c r="AB395" s="480"/>
      <c r="AC395" s="393" t="e">
        <f t="shared" si="158"/>
        <v>#DIV/0!</v>
      </c>
      <c r="AD395" s="393" t="e">
        <f t="shared" si="159"/>
        <v>#DIV/0!</v>
      </c>
      <c r="AE395" s="393" t="e">
        <f t="shared" si="160"/>
        <v>#DIV/0!</v>
      </c>
      <c r="AF395" s="393" t="e">
        <f t="shared" si="161"/>
        <v>#DIV/0!</v>
      </c>
      <c r="AG395" s="393" t="e">
        <f t="shared" si="162"/>
        <v>#DIV/0!</v>
      </c>
      <c r="AH395" s="393" t="e">
        <f t="shared" si="163"/>
        <v>#DIV/0!</v>
      </c>
      <c r="AI395" s="393" t="e">
        <f t="shared" si="164"/>
        <v>#DIV/0!</v>
      </c>
      <c r="AJ395" s="393" t="e">
        <f t="shared" si="165"/>
        <v>#DIV/0!</v>
      </c>
      <c r="AK395" s="393" t="e">
        <f t="shared" si="166"/>
        <v>#DIV/0!</v>
      </c>
      <c r="AL395" s="393" t="e">
        <f t="shared" si="167"/>
        <v>#DIV/0!</v>
      </c>
      <c r="AM395" s="393" t="e">
        <f t="shared" si="168"/>
        <v>#DIV/0!</v>
      </c>
      <c r="AN395" s="393" t="e">
        <f t="shared" si="169"/>
        <v>#DIV/0!</v>
      </c>
      <c r="AO395" s="393" t="e">
        <f t="shared" si="170"/>
        <v>#DIV/0!</v>
      </c>
      <c r="AP395" s="393" t="e">
        <f t="shared" si="171"/>
        <v>#DIV/0!</v>
      </c>
      <c r="AQ395" s="393" t="e">
        <f t="shared" si="172"/>
        <v>#DIV/0!</v>
      </c>
      <c r="AR395" s="393" t="e">
        <f t="shared" si="173"/>
        <v>#DIV/0!</v>
      </c>
      <c r="AS395" s="393">
        <f t="shared" si="174"/>
        <v>-100</v>
      </c>
      <c r="AT395" s="393" t="e">
        <f t="shared" si="175"/>
        <v>#DIV/0!</v>
      </c>
      <c r="AU395" s="393" t="e">
        <f t="shared" si="176"/>
        <v>#DIV/0!</v>
      </c>
      <c r="AV395" s="393" t="e">
        <f t="shared" si="177"/>
        <v>#DIV/0!</v>
      </c>
      <c r="AW395" s="393" t="e">
        <f t="shared" si="178"/>
        <v>#DIV/0!</v>
      </c>
      <c r="AX395" s="393" t="e">
        <f t="shared" si="179"/>
        <v>#DIV/0!</v>
      </c>
      <c r="AY395" s="393" t="e">
        <f t="shared" si="180"/>
        <v>#DIV/0!</v>
      </c>
      <c r="AZ395" s="393" t="e">
        <f t="shared" si="181"/>
        <v>#DIV/0!</v>
      </c>
      <c r="BA395" s="393" t="e">
        <f t="shared" si="182"/>
        <v>#DIV/0!</v>
      </c>
      <c r="BB395" s="393" t="e">
        <f t="shared" si="183"/>
        <v>#DIV/0!</v>
      </c>
    </row>
    <row r="396" spans="1:54" x14ac:dyDescent="0.25">
      <c r="A396" s="361" t="s">
        <v>633</v>
      </c>
      <c r="B396" s="480"/>
      <c r="C396" s="480"/>
      <c r="D396" s="480"/>
      <c r="E396" s="480"/>
      <c r="F396" s="480"/>
      <c r="G396" s="480"/>
      <c r="H396" s="480"/>
      <c r="I396" s="480"/>
      <c r="J396" s="480">
        <f>833/1200</f>
        <v>0.69420000000000004</v>
      </c>
      <c r="K396" s="480"/>
      <c r="L396" s="480"/>
      <c r="M396" s="480"/>
      <c r="N396" s="480">
        <f>749/1200</f>
        <v>0.62419999999999998</v>
      </c>
      <c r="O396" s="480">
        <f>771/1200</f>
        <v>0.64249999999999996</v>
      </c>
      <c r="P396" s="480"/>
      <c r="Q396" s="480"/>
      <c r="R396" s="480"/>
      <c r="S396" s="480"/>
      <c r="T396" s="480"/>
      <c r="U396" s="480"/>
      <c r="V396" s="480"/>
      <c r="W396" s="480"/>
      <c r="X396" s="480"/>
      <c r="Y396" s="480"/>
      <c r="Z396" s="480"/>
      <c r="AA396" s="480"/>
      <c r="AB396" s="480"/>
      <c r="AC396" s="393" t="e">
        <f t="shared" si="158"/>
        <v>#DIV/0!</v>
      </c>
      <c r="AD396" s="393" t="e">
        <f t="shared" si="159"/>
        <v>#DIV/0!</v>
      </c>
      <c r="AE396" s="393" t="e">
        <f t="shared" si="160"/>
        <v>#DIV/0!</v>
      </c>
      <c r="AF396" s="393" t="e">
        <f t="shared" si="161"/>
        <v>#DIV/0!</v>
      </c>
      <c r="AG396" s="393" t="e">
        <f t="shared" si="162"/>
        <v>#DIV/0!</v>
      </c>
      <c r="AH396" s="393" t="e">
        <f t="shared" si="163"/>
        <v>#DIV/0!</v>
      </c>
      <c r="AI396" s="393" t="e">
        <f t="shared" si="164"/>
        <v>#DIV/0!</v>
      </c>
      <c r="AJ396" s="393" t="e">
        <f t="shared" si="165"/>
        <v>#DIV/0!</v>
      </c>
      <c r="AK396" s="393">
        <f t="shared" si="166"/>
        <v>-100</v>
      </c>
      <c r="AL396" s="393" t="e">
        <f t="shared" si="167"/>
        <v>#DIV/0!</v>
      </c>
      <c r="AM396" s="393" t="e">
        <f t="shared" si="168"/>
        <v>#DIV/0!</v>
      </c>
      <c r="AN396" s="393" t="e">
        <f t="shared" si="169"/>
        <v>#DIV/0!</v>
      </c>
      <c r="AO396" s="393">
        <f t="shared" si="170"/>
        <v>2.9319999999999999</v>
      </c>
      <c r="AP396" s="393">
        <f t="shared" si="171"/>
        <v>-100</v>
      </c>
      <c r="AQ396" s="393" t="e">
        <f t="shared" si="172"/>
        <v>#DIV/0!</v>
      </c>
      <c r="AR396" s="393" t="e">
        <f t="shared" si="173"/>
        <v>#DIV/0!</v>
      </c>
      <c r="AS396" s="393" t="e">
        <f t="shared" si="174"/>
        <v>#DIV/0!</v>
      </c>
      <c r="AT396" s="393" t="e">
        <f t="shared" si="175"/>
        <v>#DIV/0!</v>
      </c>
      <c r="AU396" s="393" t="e">
        <f t="shared" si="176"/>
        <v>#DIV/0!</v>
      </c>
      <c r="AV396" s="393" t="e">
        <f t="shared" si="177"/>
        <v>#DIV/0!</v>
      </c>
      <c r="AW396" s="393" t="e">
        <f t="shared" si="178"/>
        <v>#DIV/0!</v>
      </c>
      <c r="AX396" s="393" t="e">
        <f t="shared" si="179"/>
        <v>#DIV/0!</v>
      </c>
      <c r="AY396" s="393" t="e">
        <f t="shared" si="180"/>
        <v>#DIV/0!</v>
      </c>
      <c r="AZ396" s="393" t="e">
        <f t="shared" si="181"/>
        <v>#DIV/0!</v>
      </c>
      <c r="BA396" s="393" t="e">
        <f t="shared" si="182"/>
        <v>#DIV/0!</v>
      </c>
      <c r="BB396" s="393" t="e">
        <f t="shared" si="183"/>
        <v>#DIV/0!</v>
      </c>
    </row>
    <row r="397" spans="1:54" x14ac:dyDescent="0.25">
      <c r="A397" s="355" t="s">
        <v>2867</v>
      </c>
      <c r="B397" s="480"/>
      <c r="C397" s="480"/>
      <c r="D397" s="480"/>
      <c r="E397" s="480"/>
      <c r="F397" s="480"/>
      <c r="G397" s="480"/>
      <c r="H397" s="480"/>
      <c r="I397" s="480"/>
      <c r="J397" s="480"/>
      <c r="K397" s="480"/>
      <c r="L397" s="480"/>
      <c r="M397" s="480"/>
      <c r="N397" s="480"/>
      <c r="O397" s="480"/>
      <c r="P397" s="480"/>
      <c r="Q397" s="480"/>
      <c r="R397" s="480"/>
      <c r="S397" s="480"/>
      <c r="T397" s="480"/>
      <c r="U397" s="480"/>
      <c r="V397" s="480">
        <f>773/1200</f>
        <v>0.64419999999999999</v>
      </c>
      <c r="W397" s="480">
        <f>773/1200</f>
        <v>0.64419999999999999</v>
      </c>
      <c r="X397" s="480">
        <f>1226/1800</f>
        <v>0.68110000000000004</v>
      </c>
      <c r="Y397" s="480"/>
      <c r="Z397" s="480"/>
      <c r="AA397" s="480"/>
      <c r="AB397" s="480"/>
      <c r="AC397" s="393" t="e">
        <f t="shared" si="158"/>
        <v>#DIV/0!</v>
      </c>
      <c r="AD397" s="393" t="e">
        <f t="shared" si="159"/>
        <v>#DIV/0!</v>
      </c>
      <c r="AE397" s="393" t="e">
        <f t="shared" si="160"/>
        <v>#DIV/0!</v>
      </c>
      <c r="AF397" s="393" t="e">
        <f t="shared" si="161"/>
        <v>#DIV/0!</v>
      </c>
      <c r="AG397" s="393" t="e">
        <f t="shared" si="162"/>
        <v>#DIV/0!</v>
      </c>
      <c r="AH397" s="393" t="e">
        <f t="shared" si="163"/>
        <v>#DIV/0!</v>
      </c>
      <c r="AI397" s="393" t="e">
        <f t="shared" si="164"/>
        <v>#DIV/0!</v>
      </c>
      <c r="AJ397" s="393" t="e">
        <f t="shared" si="165"/>
        <v>#DIV/0!</v>
      </c>
      <c r="AK397" s="393" t="e">
        <f t="shared" si="166"/>
        <v>#DIV/0!</v>
      </c>
      <c r="AL397" s="393" t="e">
        <f t="shared" si="167"/>
        <v>#DIV/0!</v>
      </c>
      <c r="AM397" s="393" t="e">
        <f t="shared" si="168"/>
        <v>#DIV/0!</v>
      </c>
      <c r="AN397" s="393" t="e">
        <f t="shared" si="169"/>
        <v>#DIV/0!</v>
      </c>
      <c r="AO397" s="393" t="e">
        <f t="shared" si="170"/>
        <v>#DIV/0!</v>
      </c>
      <c r="AP397" s="393" t="e">
        <f t="shared" si="171"/>
        <v>#DIV/0!</v>
      </c>
      <c r="AQ397" s="393" t="e">
        <f t="shared" si="172"/>
        <v>#DIV/0!</v>
      </c>
      <c r="AR397" s="393" t="e">
        <f t="shared" si="173"/>
        <v>#DIV/0!</v>
      </c>
      <c r="AS397" s="393" t="e">
        <f t="shared" si="174"/>
        <v>#DIV/0!</v>
      </c>
      <c r="AT397" s="393" t="e">
        <f t="shared" si="175"/>
        <v>#DIV/0!</v>
      </c>
      <c r="AU397" s="393" t="e">
        <f t="shared" si="176"/>
        <v>#DIV/0!</v>
      </c>
      <c r="AV397" s="393" t="e">
        <f t="shared" si="177"/>
        <v>#DIV/0!</v>
      </c>
      <c r="AW397" s="393">
        <f t="shared" si="178"/>
        <v>0</v>
      </c>
      <c r="AX397" s="393">
        <f t="shared" si="179"/>
        <v>5.7279999999999998</v>
      </c>
      <c r="AY397" s="393">
        <f t="shared" si="180"/>
        <v>-100</v>
      </c>
      <c r="AZ397" s="393" t="e">
        <f t="shared" si="181"/>
        <v>#DIV/0!</v>
      </c>
      <c r="BA397" s="393" t="e">
        <f t="shared" si="182"/>
        <v>#DIV/0!</v>
      </c>
      <c r="BB397" s="393" t="e">
        <f t="shared" si="183"/>
        <v>#DIV/0!</v>
      </c>
    </row>
    <row r="398" spans="1:54" x14ac:dyDescent="0.25">
      <c r="A398" s="361" t="s">
        <v>970</v>
      </c>
      <c r="B398" s="480"/>
      <c r="C398" s="480"/>
      <c r="D398" s="480"/>
      <c r="E398" s="480"/>
      <c r="F398" s="480"/>
      <c r="G398" s="480"/>
      <c r="H398" s="480"/>
      <c r="I398" s="480"/>
      <c r="J398" s="480"/>
      <c r="K398" s="480"/>
      <c r="L398" s="480"/>
      <c r="M398" s="480"/>
      <c r="N398" s="480"/>
      <c r="O398" s="480"/>
      <c r="P398" s="480"/>
      <c r="Q398" s="480"/>
      <c r="R398" s="480"/>
      <c r="S398" s="480"/>
      <c r="T398" s="480"/>
      <c r="U398" s="480"/>
      <c r="V398" s="480"/>
      <c r="W398" s="480">
        <f>772/1200</f>
        <v>0.64329999999999998</v>
      </c>
      <c r="X398" s="480"/>
      <c r="Y398" s="480"/>
      <c r="Z398" s="480"/>
      <c r="AA398" s="480"/>
      <c r="AB398" s="480"/>
      <c r="AC398" s="393" t="e">
        <f t="shared" si="158"/>
        <v>#DIV/0!</v>
      </c>
      <c r="AD398" s="393" t="e">
        <f t="shared" si="159"/>
        <v>#DIV/0!</v>
      </c>
      <c r="AE398" s="393" t="e">
        <f t="shared" si="160"/>
        <v>#DIV/0!</v>
      </c>
      <c r="AF398" s="393" t="e">
        <f t="shared" si="161"/>
        <v>#DIV/0!</v>
      </c>
      <c r="AG398" s="393" t="e">
        <f t="shared" si="162"/>
        <v>#DIV/0!</v>
      </c>
      <c r="AH398" s="393" t="e">
        <f t="shared" si="163"/>
        <v>#DIV/0!</v>
      </c>
      <c r="AI398" s="393" t="e">
        <f t="shared" si="164"/>
        <v>#DIV/0!</v>
      </c>
      <c r="AJ398" s="393" t="e">
        <f t="shared" si="165"/>
        <v>#DIV/0!</v>
      </c>
      <c r="AK398" s="393" t="e">
        <f t="shared" si="166"/>
        <v>#DIV/0!</v>
      </c>
      <c r="AL398" s="393" t="e">
        <f t="shared" si="167"/>
        <v>#DIV/0!</v>
      </c>
      <c r="AM398" s="393" t="e">
        <f t="shared" si="168"/>
        <v>#DIV/0!</v>
      </c>
      <c r="AN398" s="393" t="e">
        <f t="shared" si="169"/>
        <v>#DIV/0!</v>
      </c>
      <c r="AO398" s="393" t="e">
        <f t="shared" si="170"/>
        <v>#DIV/0!</v>
      </c>
      <c r="AP398" s="393" t="e">
        <f t="shared" si="171"/>
        <v>#DIV/0!</v>
      </c>
      <c r="AQ398" s="393" t="e">
        <f t="shared" si="172"/>
        <v>#DIV/0!</v>
      </c>
      <c r="AR398" s="393" t="e">
        <f t="shared" si="173"/>
        <v>#DIV/0!</v>
      </c>
      <c r="AS398" s="393" t="e">
        <f t="shared" si="174"/>
        <v>#DIV/0!</v>
      </c>
      <c r="AT398" s="393" t="e">
        <f t="shared" si="175"/>
        <v>#DIV/0!</v>
      </c>
      <c r="AU398" s="393" t="e">
        <f t="shared" si="176"/>
        <v>#DIV/0!</v>
      </c>
      <c r="AV398" s="393" t="e">
        <f t="shared" si="177"/>
        <v>#DIV/0!</v>
      </c>
      <c r="AW398" s="393" t="e">
        <f t="shared" si="178"/>
        <v>#DIV/0!</v>
      </c>
      <c r="AX398" s="393">
        <f t="shared" si="179"/>
        <v>-100</v>
      </c>
      <c r="AY398" s="393" t="e">
        <f t="shared" si="180"/>
        <v>#DIV/0!</v>
      </c>
      <c r="AZ398" s="393" t="e">
        <f t="shared" si="181"/>
        <v>#DIV/0!</v>
      </c>
      <c r="BA398" s="393" t="e">
        <f t="shared" si="182"/>
        <v>#DIV/0!</v>
      </c>
      <c r="BB398" s="393" t="e">
        <f t="shared" si="183"/>
        <v>#DIV/0!</v>
      </c>
    </row>
    <row r="399" spans="1:54" x14ac:dyDescent="0.25">
      <c r="A399" s="355" t="s">
        <v>598</v>
      </c>
      <c r="B399" s="480"/>
      <c r="C399" s="480"/>
      <c r="D399" s="480"/>
      <c r="E399" s="480"/>
      <c r="F399" s="480"/>
      <c r="G399" s="480"/>
      <c r="H399" s="480"/>
      <c r="I399" s="480"/>
      <c r="J399" s="480"/>
      <c r="K399" s="480"/>
      <c r="L399" s="480"/>
      <c r="M399" s="480"/>
      <c r="N399" s="480"/>
      <c r="O399" s="480"/>
      <c r="P399" s="480"/>
      <c r="Q399" s="480"/>
      <c r="R399" s="480"/>
      <c r="S399" s="480"/>
      <c r="T399" s="480"/>
      <c r="U399" s="480"/>
      <c r="V399" s="480">
        <f>661/1200</f>
        <v>0.55079999999999996</v>
      </c>
      <c r="W399" s="480">
        <f>750/1200</f>
        <v>0.625</v>
      </c>
      <c r="X399" s="480"/>
      <c r="Y399" s="480"/>
      <c r="Z399" s="480"/>
      <c r="AA399" s="480"/>
      <c r="AB399" s="480"/>
      <c r="AC399" s="393" t="e">
        <f t="shared" si="158"/>
        <v>#DIV/0!</v>
      </c>
      <c r="AD399" s="393" t="e">
        <f t="shared" si="159"/>
        <v>#DIV/0!</v>
      </c>
      <c r="AE399" s="393" t="e">
        <f t="shared" si="160"/>
        <v>#DIV/0!</v>
      </c>
      <c r="AF399" s="393" t="e">
        <f t="shared" si="161"/>
        <v>#DIV/0!</v>
      </c>
      <c r="AG399" s="393" t="e">
        <f t="shared" si="162"/>
        <v>#DIV/0!</v>
      </c>
      <c r="AH399" s="393" t="e">
        <f t="shared" si="163"/>
        <v>#DIV/0!</v>
      </c>
      <c r="AI399" s="393" t="e">
        <f t="shared" si="164"/>
        <v>#DIV/0!</v>
      </c>
      <c r="AJ399" s="393" t="e">
        <f t="shared" si="165"/>
        <v>#DIV/0!</v>
      </c>
      <c r="AK399" s="393" t="e">
        <f t="shared" si="166"/>
        <v>#DIV/0!</v>
      </c>
      <c r="AL399" s="393" t="e">
        <f t="shared" si="167"/>
        <v>#DIV/0!</v>
      </c>
      <c r="AM399" s="393" t="e">
        <f t="shared" si="168"/>
        <v>#DIV/0!</v>
      </c>
      <c r="AN399" s="393" t="e">
        <f t="shared" si="169"/>
        <v>#DIV/0!</v>
      </c>
      <c r="AO399" s="393" t="e">
        <f t="shared" si="170"/>
        <v>#DIV/0!</v>
      </c>
      <c r="AP399" s="393" t="e">
        <f t="shared" si="171"/>
        <v>#DIV/0!</v>
      </c>
      <c r="AQ399" s="393" t="e">
        <f t="shared" si="172"/>
        <v>#DIV/0!</v>
      </c>
      <c r="AR399" s="393" t="e">
        <f t="shared" si="173"/>
        <v>#DIV/0!</v>
      </c>
      <c r="AS399" s="393" t="e">
        <f t="shared" si="174"/>
        <v>#DIV/0!</v>
      </c>
      <c r="AT399" s="393" t="e">
        <f t="shared" si="175"/>
        <v>#DIV/0!</v>
      </c>
      <c r="AU399" s="393" t="e">
        <f t="shared" si="176"/>
        <v>#DIV/0!</v>
      </c>
      <c r="AV399" s="393" t="e">
        <f t="shared" si="177"/>
        <v>#DIV/0!</v>
      </c>
      <c r="AW399" s="393">
        <f t="shared" si="178"/>
        <v>13.471</v>
      </c>
      <c r="AX399" s="393">
        <f t="shared" si="179"/>
        <v>-100</v>
      </c>
      <c r="AY399" s="393" t="e">
        <f t="shared" si="180"/>
        <v>#DIV/0!</v>
      </c>
      <c r="AZ399" s="393" t="e">
        <f t="shared" si="181"/>
        <v>#DIV/0!</v>
      </c>
      <c r="BA399" s="393" t="e">
        <f t="shared" si="182"/>
        <v>#DIV/0!</v>
      </c>
      <c r="BB399" s="393" t="e">
        <f t="shared" si="183"/>
        <v>#DIV/0!</v>
      </c>
    </row>
    <row r="400" spans="1:54" x14ac:dyDescent="0.25">
      <c r="A400" s="361" t="s">
        <v>464</v>
      </c>
      <c r="B400" s="480"/>
      <c r="C400" s="480"/>
      <c r="D400" s="480"/>
      <c r="E400" s="480"/>
      <c r="F400" s="480"/>
      <c r="G400" s="480"/>
      <c r="H400" s="480"/>
      <c r="I400" s="480"/>
      <c r="J400" s="480"/>
      <c r="K400" s="480"/>
      <c r="L400" s="480"/>
      <c r="M400" s="480"/>
      <c r="N400" s="480"/>
      <c r="O400" s="480"/>
      <c r="P400" s="480"/>
      <c r="Q400" s="480"/>
      <c r="R400" s="480"/>
      <c r="S400" s="480"/>
      <c r="T400" s="480">
        <f>702/1200</f>
        <v>0.58499999999999996</v>
      </c>
      <c r="U400" s="480"/>
      <c r="V400" s="480"/>
      <c r="W400" s="480"/>
      <c r="X400" s="480"/>
      <c r="Y400" s="480"/>
      <c r="Z400" s="480"/>
      <c r="AA400" s="480"/>
      <c r="AB400" s="480"/>
      <c r="AC400" s="393" t="e">
        <f t="shared" si="158"/>
        <v>#DIV/0!</v>
      </c>
      <c r="AD400" s="393" t="e">
        <f t="shared" si="159"/>
        <v>#DIV/0!</v>
      </c>
      <c r="AE400" s="393" t="e">
        <f t="shared" si="160"/>
        <v>#DIV/0!</v>
      </c>
      <c r="AF400" s="393" t="e">
        <f t="shared" si="161"/>
        <v>#DIV/0!</v>
      </c>
      <c r="AG400" s="393" t="e">
        <f t="shared" si="162"/>
        <v>#DIV/0!</v>
      </c>
      <c r="AH400" s="393" t="e">
        <f t="shared" si="163"/>
        <v>#DIV/0!</v>
      </c>
      <c r="AI400" s="393" t="e">
        <f t="shared" si="164"/>
        <v>#DIV/0!</v>
      </c>
      <c r="AJ400" s="393" t="e">
        <f t="shared" si="165"/>
        <v>#DIV/0!</v>
      </c>
      <c r="AK400" s="393" t="e">
        <f t="shared" si="166"/>
        <v>#DIV/0!</v>
      </c>
      <c r="AL400" s="393" t="e">
        <f t="shared" si="167"/>
        <v>#DIV/0!</v>
      </c>
      <c r="AM400" s="393" t="e">
        <f t="shared" si="168"/>
        <v>#DIV/0!</v>
      </c>
      <c r="AN400" s="393" t="e">
        <f t="shared" si="169"/>
        <v>#DIV/0!</v>
      </c>
      <c r="AO400" s="393" t="e">
        <f t="shared" si="170"/>
        <v>#DIV/0!</v>
      </c>
      <c r="AP400" s="393" t="e">
        <f t="shared" si="171"/>
        <v>#DIV/0!</v>
      </c>
      <c r="AQ400" s="393" t="e">
        <f t="shared" si="172"/>
        <v>#DIV/0!</v>
      </c>
      <c r="AR400" s="393" t="e">
        <f t="shared" si="173"/>
        <v>#DIV/0!</v>
      </c>
      <c r="AS400" s="393" t="e">
        <f t="shared" si="174"/>
        <v>#DIV/0!</v>
      </c>
      <c r="AT400" s="393" t="e">
        <f t="shared" si="175"/>
        <v>#DIV/0!</v>
      </c>
      <c r="AU400" s="393">
        <f t="shared" si="176"/>
        <v>-100</v>
      </c>
      <c r="AV400" s="393" t="e">
        <f t="shared" si="177"/>
        <v>#DIV/0!</v>
      </c>
      <c r="AW400" s="393" t="e">
        <f t="shared" si="178"/>
        <v>#DIV/0!</v>
      </c>
      <c r="AX400" s="393" t="e">
        <f t="shared" si="179"/>
        <v>#DIV/0!</v>
      </c>
      <c r="AY400" s="393" t="e">
        <f t="shared" si="180"/>
        <v>#DIV/0!</v>
      </c>
      <c r="AZ400" s="393" t="e">
        <f t="shared" si="181"/>
        <v>#DIV/0!</v>
      </c>
      <c r="BA400" s="393" t="e">
        <f t="shared" si="182"/>
        <v>#DIV/0!</v>
      </c>
      <c r="BB400" s="393" t="e">
        <f t="shared" si="183"/>
        <v>#DIV/0!</v>
      </c>
    </row>
    <row r="401" spans="1:54" x14ac:dyDescent="0.25">
      <c r="A401" s="361" t="s">
        <v>447</v>
      </c>
      <c r="B401" s="480"/>
      <c r="C401" s="480"/>
      <c r="D401" s="480"/>
      <c r="E401" s="480"/>
      <c r="F401" s="480"/>
      <c r="G401" s="480"/>
      <c r="H401" s="480"/>
      <c r="I401" s="480"/>
      <c r="J401" s="480"/>
      <c r="K401" s="480"/>
      <c r="L401" s="480"/>
      <c r="M401" s="480">
        <f>916/1200</f>
        <v>0.76329999999999998</v>
      </c>
      <c r="N401" s="480"/>
      <c r="O401" s="480"/>
      <c r="P401" s="480"/>
      <c r="Q401" s="480"/>
      <c r="R401" s="480"/>
      <c r="S401" s="480"/>
      <c r="T401" s="480"/>
      <c r="U401" s="480"/>
      <c r="V401" s="480"/>
      <c r="W401" s="480"/>
      <c r="X401" s="480"/>
      <c r="Y401" s="480"/>
      <c r="Z401" s="480"/>
      <c r="AA401" s="480"/>
      <c r="AB401" s="480"/>
      <c r="AC401" s="393" t="e">
        <f t="shared" si="158"/>
        <v>#DIV/0!</v>
      </c>
      <c r="AD401" s="393" t="e">
        <f t="shared" si="159"/>
        <v>#DIV/0!</v>
      </c>
      <c r="AE401" s="393" t="e">
        <f t="shared" si="160"/>
        <v>#DIV/0!</v>
      </c>
      <c r="AF401" s="393" t="e">
        <f t="shared" si="161"/>
        <v>#DIV/0!</v>
      </c>
      <c r="AG401" s="393" t="e">
        <f t="shared" si="162"/>
        <v>#DIV/0!</v>
      </c>
      <c r="AH401" s="393" t="e">
        <f t="shared" si="163"/>
        <v>#DIV/0!</v>
      </c>
      <c r="AI401" s="393" t="e">
        <f t="shared" si="164"/>
        <v>#DIV/0!</v>
      </c>
      <c r="AJ401" s="393" t="e">
        <f t="shared" si="165"/>
        <v>#DIV/0!</v>
      </c>
      <c r="AK401" s="393" t="e">
        <f t="shared" si="166"/>
        <v>#DIV/0!</v>
      </c>
      <c r="AL401" s="393" t="e">
        <f t="shared" si="167"/>
        <v>#DIV/0!</v>
      </c>
      <c r="AM401" s="393" t="e">
        <f t="shared" si="168"/>
        <v>#DIV/0!</v>
      </c>
      <c r="AN401" s="393">
        <f t="shared" si="169"/>
        <v>-100</v>
      </c>
      <c r="AO401" s="393" t="e">
        <f t="shared" si="170"/>
        <v>#DIV/0!</v>
      </c>
      <c r="AP401" s="393" t="e">
        <f t="shared" si="171"/>
        <v>#DIV/0!</v>
      </c>
      <c r="AQ401" s="393" t="e">
        <f t="shared" si="172"/>
        <v>#DIV/0!</v>
      </c>
      <c r="AR401" s="393" t="e">
        <f t="shared" si="173"/>
        <v>#DIV/0!</v>
      </c>
      <c r="AS401" s="393" t="e">
        <f t="shared" si="174"/>
        <v>#DIV/0!</v>
      </c>
      <c r="AT401" s="393" t="e">
        <f t="shared" si="175"/>
        <v>#DIV/0!</v>
      </c>
      <c r="AU401" s="393" t="e">
        <f t="shared" si="176"/>
        <v>#DIV/0!</v>
      </c>
      <c r="AV401" s="393" t="e">
        <f t="shared" si="177"/>
        <v>#DIV/0!</v>
      </c>
      <c r="AW401" s="393" t="e">
        <f t="shared" si="178"/>
        <v>#DIV/0!</v>
      </c>
      <c r="AX401" s="393" t="e">
        <f t="shared" si="179"/>
        <v>#DIV/0!</v>
      </c>
      <c r="AY401" s="393" t="e">
        <f t="shared" si="180"/>
        <v>#DIV/0!</v>
      </c>
      <c r="AZ401" s="393" t="e">
        <f t="shared" si="181"/>
        <v>#DIV/0!</v>
      </c>
      <c r="BA401" s="393" t="e">
        <f t="shared" si="182"/>
        <v>#DIV/0!</v>
      </c>
      <c r="BB401" s="393" t="e">
        <f t="shared" si="183"/>
        <v>#DIV/0!</v>
      </c>
    </row>
    <row r="402" spans="1:54" x14ac:dyDescent="0.25">
      <c r="A402" s="565" t="s">
        <v>3102</v>
      </c>
      <c r="B402" s="480">
        <f>854/1800</f>
        <v>0.47439999999999999</v>
      </c>
      <c r="C402" s="480"/>
      <c r="D402" s="480"/>
      <c r="E402" s="480"/>
      <c r="F402" s="480"/>
      <c r="G402" s="480"/>
      <c r="H402" s="480"/>
      <c r="I402" s="480"/>
      <c r="J402" s="480"/>
      <c r="K402" s="480"/>
      <c r="L402" s="480"/>
      <c r="M402" s="480"/>
      <c r="N402" s="480"/>
      <c r="O402" s="480"/>
      <c r="P402" s="480"/>
      <c r="Q402" s="480"/>
      <c r="R402" s="480"/>
      <c r="S402" s="480"/>
      <c r="T402" s="480"/>
      <c r="U402" s="480"/>
      <c r="V402" s="480"/>
      <c r="W402" s="480"/>
      <c r="X402" s="480"/>
      <c r="Y402" s="480"/>
      <c r="Z402" s="480"/>
      <c r="AA402" s="480"/>
      <c r="AB402" s="480"/>
      <c r="AC402" s="393">
        <f t="shared" si="158"/>
        <v>-100</v>
      </c>
      <c r="AD402" s="393" t="e">
        <f t="shared" si="159"/>
        <v>#DIV/0!</v>
      </c>
      <c r="AE402" s="393" t="e">
        <f t="shared" si="160"/>
        <v>#DIV/0!</v>
      </c>
      <c r="AF402" s="393" t="e">
        <f t="shared" si="161"/>
        <v>#DIV/0!</v>
      </c>
      <c r="AG402" s="393" t="e">
        <f t="shared" si="162"/>
        <v>#DIV/0!</v>
      </c>
      <c r="AH402" s="393" t="e">
        <f t="shared" si="163"/>
        <v>#DIV/0!</v>
      </c>
      <c r="AI402" s="393" t="e">
        <f t="shared" si="164"/>
        <v>#DIV/0!</v>
      </c>
      <c r="AJ402" s="393" t="e">
        <f t="shared" si="165"/>
        <v>#DIV/0!</v>
      </c>
      <c r="AK402" s="393" t="e">
        <f t="shared" si="166"/>
        <v>#DIV/0!</v>
      </c>
      <c r="AL402" s="393" t="e">
        <f t="shared" si="167"/>
        <v>#DIV/0!</v>
      </c>
      <c r="AM402" s="393" t="e">
        <f t="shared" si="168"/>
        <v>#DIV/0!</v>
      </c>
      <c r="AN402" s="393" t="e">
        <f t="shared" si="169"/>
        <v>#DIV/0!</v>
      </c>
      <c r="AO402" s="393" t="e">
        <f t="shared" si="170"/>
        <v>#DIV/0!</v>
      </c>
      <c r="AP402" s="393" t="e">
        <f t="shared" si="171"/>
        <v>#DIV/0!</v>
      </c>
      <c r="AQ402" s="393" t="e">
        <f t="shared" si="172"/>
        <v>#DIV/0!</v>
      </c>
      <c r="AR402" s="393" t="e">
        <f t="shared" si="173"/>
        <v>#DIV/0!</v>
      </c>
      <c r="AS402" s="393" t="e">
        <f t="shared" si="174"/>
        <v>#DIV/0!</v>
      </c>
      <c r="AT402" s="393" t="e">
        <f t="shared" si="175"/>
        <v>#DIV/0!</v>
      </c>
      <c r="AU402" s="393" t="e">
        <f t="shared" si="176"/>
        <v>#DIV/0!</v>
      </c>
      <c r="AV402" s="393" t="e">
        <f t="shared" si="177"/>
        <v>#DIV/0!</v>
      </c>
      <c r="AW402" s="393" t="e">
        <f t="shared" si="178"/>
        <v>#DIV/0!</v>
      </c>
      <c r="AX402" s="393" t="e">
        <f t="shared" si="179"/>
        <v>#DIV/0!</v>
      </c>
      <c r="AY402" s="393" t="e">
        <f t="shared" si="180"/>
        <v>#DIV/0!</v>
      </c>
      <c r="AZ402" s="393" t="e">
        <f t="shared" si="181"/>
        <v>#DIV/0!</v>
      </c>
      <c r="BA402" s="393" t="e">
        <f t="shared" si="182"/>
        <v>#DIV/0!</v>
      </c>
      <c r="BB402" s="393" t="e">
        <f t="shared" si="183"/>
        <v>#DIV/0!</v>
      </c>
    </row>
    <row r="403" spans="1:54" x14ac:dyDescent="0.25">
      <c r="A403" s="361" t="s">
        <v>2373</v>
      </c>
      <c r="B403" s="480"/>
      <c r="C403" s="480"/>
      <c r="D403" s="480"/>
      <c r="E403" s="480"/>
      <c r="F403" s="480"/>
      <c r="G403" s="480"/>
      <c r="H403" s="480"/>
      <c r="I403" s="480"/>
      <c r="J403" s="480"/>
      <c r="K403" s="480"/>
      <c r="L403" s="480"/>
      <c r="M403" s="480">
        <f>756/1200</f>
        <v>0.63</v>
      </c>
      <c r="N403" s="480">
        <f>784/1200</f>
        <v>0.65329999999999999</v>
      </c>
      <c r="O403" s="480">
        <f>838/1200</f>
        <v>0.69830000000000003</v>
      </c>
      <c r="P403" s="480"/>
      <c r="Q403" s="480"/>
      <c r="R403" s="480"/>
      <c r="S403" s="480"/>
      <c r="T403" s="480"/>
      <c r="U403" s="480"/>
      <c r="V403" s="480"/>
      <c r="W403" s="480"/>
      <c r="X403" s="480"/>
      <c r="Y403" s="480"/>
      <c r="Z403" s="480"/>
      <c r="AA403" s="480"/>
      <c r="AB403" s="480"/>
      <c r="AC403" s="393" t="e">
        <f t="shared" si="158"/>
        <v>#DIV/0!</v>
      </c>
      <c r="AD403" s="393" t="e">
        <f t="shared" si="159"/>
        <v>#DIV/0!</v>
      </c>
      <c r="AE403" s="393" t="e">
        <f t="shared" si="160"/>
        <v>#DIV/0!</v>
      </c>
      <c r="AF403" s="393" t="e">
        <f t="shared" si="161"/>
        <v>#DIV/0!</v>
      </c>
      <c r="AG403" s="393" t="e">
        <f t="shared" si="162"/>
        <v>#DIV/0!</v>
      </c>
      <c r="AH403" s="393" t="e">
        <f t="shared" si="163"/>
        <v>#DIV/0!</v>
      </c>
      <c r="AI403" s="393" t="e">
        <f t="shared" si="164"/>
        <v>#DIV/0!</v>
      </c>
      <c r="AJ403" s="393" t="e">
        <f t="shared" si="165"/>
        <v>#DIV/0!</v>
      </c>
      <c r="AK403" s="393" t="e">
        <f t="shared" si="166"/>
        <v>#DIV/0!</v>
      </c>
      <c r="AL403" s="393" t="e">
        <f t="shared" si="167"/>
        <v>#DIV/0!</v>
      </c>
      <c r="AM403" s="393" t="e">
        <f t="shared" si="168"/>
        <v>#DIV/0!</v>
      </c>
      <c r="AN403" s="393">
        <f t="shared" si="169"/>
        <v>3.698</v>
      </c>
      <c r="AO403" s="393">
        <f t="shared" si="170"/>
        <v>6.8879999999999999</v>
      </c>
      <c r="AP403" s="393">
        <f t="shared" si="171"/>
        <v>-100</v>
      </c>
      <c r="AQ403" s="393" t="e">
        <f t="shared" si="172"/>
        <v>#DIV/0!</v>
      </c>
      <c r="AR403" s="393" t="e">
        <f t="shared" si="173"/>
        <v>#DIV/0!</v>
      </c>
      <c r="AS403" s="393" t="e">
        <f t="shared" si="174"/>
        <v>#DIV/0!</v>
      </c>
      <c r="AT403" s="393" t="e">
        <f t="shared" si="175"/>
        <v>#DIV/0!</v>
      </c>
      <c r="AU403" s="393" t="e">
        <f t="shared" si="176"/>
        <v>#DIV/0!</v>
      </c>
      <c r="AV403" s="393" t="e">
        <f t="shared" si="177"/>
        <v>#DIV/0!</v>
      </c>
      <c r="AW403" s="393" t="e">
        <f t="shared" si="178"/>
        <v>#DIV/0!</v>
      </c>
      <c r="AX403" s="393" t="e">
        <f t="shared" si="179"/>
        <v>#DIV/0!</v>
      </c>
      <c r="AY403" s="393" t="e">
        <f t="shared" si="180"/>
        <v>#DIV/0!</v>
      </c>
      <c r="AZ403" s="393" t="e">
        <f t="shared" si="181"/>
        <v>#DIV/0!</v>
      </c>
      <c r="BA403" s="393" t="e">
        <f t="shared" si="182"/>
        <v>#DIV/0!</v>
      </c>
      <c r="BB403" s="393" t="e">
        <f t="shared" si="183"/>
        <v>#DIV/0!</v>
      </c>
    </row>
    <row r="404" spans="1:54" x14ac:dyDescent="0.25">
      <c r="A404" s="360" t="s">
        <v>4357</v>
      </c>
      <c r="B404" s="480"/>
      <c r="C404" s="480"/>
      <c r="D404" s="480"/>
      <c r="E404" s="480"/>
      <c r="F404" s="480"/>
      <c r="G404" s="480"/>
      <c r="H404" s="480"/>
      <c r="I404" s="480"/>
      <c r="J404" s="480"/>
      <c r="K404" s="480"/>
      <c r="L404" s="480"/>
      <c r="M404" s="480"/>
      <c r="N404" s="480"/>
      <c r="O404" s="480"/>
      <c r="P404" s="480"/>
      <c r="Q404" s="480"/>
      <c r="R404" s="480"/>
      <c r="S404" s="480"/>
      <c r="T404" s="480"/>
      <c r="U404" s="480"/>
      <c r="V404" s="480"/>
      <c r="W404" s="480"/>
      <c r="X404" s="480"/>
      <c r="Y404" s="480">
        <f>1110/1800</f>
        <v>0.61670000000000003</v>
      </c>
      <c r="Z404" s="480"/>
      <c r="AA404" s="480"/>
      <c r="AB404" s="480"/>
      <c r="AC404" s="393" t="e">
        <f t="shared" si="158"/>
        <v>#DIV/0!</v>
      </c>
      <c r="AD404" s="393" t="e">
        <f t="shared" si="159"/>
        <v>#DIV/0!</v>
      </c>
      <c r="AE404" s="393" t="e">
        <f t="shared" si="160"/>
        <v>#DIV/0!</v>
      </c>
      <c r="AF404" s="393" t="e">
        <f t="shared" si="161"/>
        <v>#DIV/0!</v>
      </c>
      <c r="AG404" s="393" t="e">
        <f t="shared" si="162"/>
        <v>#DIV/0!</v>
      </c>
      <c r="AH404" s="393" t="e">
        <f t="shared" si="163"/>
        <v>#DIV/0!</v>
      </c>
      <c r="AI404" s="393" t="e">
        <f t="shared" si="164"/>
        <v>#DIV/0!</v>
      </c>
      <c r="AJ404" s="393" t="e">
        <f t="shared" si="165"/>
        <v>#DIV/0!</v>
      </c>
      <c r="AK404" s="393" t="e">
        <f t="shared" si="166"/>
        <v>#DIV/0!</v>
      </c>
      <c r="AL404" s="393" t="e">
        <f t="shared" si="167"/>
        <v>#DIV/0!</v>
      </c>
      <c r="AM404" s="393" t="e">
        <f t="shared" si="168"/>
        <v>#DIV/0!</v>
      </c>
      <c r="AN404" s="393" t="e">
        <f t="shared" si="169"/>
        <v>#DIV/0!</v>
      </c>
      <c r="AO404" s="393" t="e">
        <f t="shared" si="170"/>
        <v>#DIV/0!</v>
      </c>
      <c r="AP404" s="393" t="e">
        <f t="shared" si="171"/>
        <v>#DIV/0!</v>
      </c>
      <c r="AQ404" s="393" t="e">
        <f t="shared" si="172"/>
        <v>#DIV/0!</v>
      </c>
      <c r="AR404" s="393" t="e">
        <f t="shared" si="173"/>
        <v>#DIV/0!</v>
      </c>
      <c r="AS404" s="393" t="e">
        <f t="shared" si="174"/>
        <v>#DIV/0!</v>
      </c>
      <c r="AT404" s="393" t="e">
        <f t="shared" si="175"/>
        <v>#DIV/0!</v>
      </c>
      <c r="AU404" s="393" t="e">
        <f t="shared" si="176"/>
        <v>#DIV/0!</v>
      </c>
      <c r="AV404" s="393" t="e">
        <f t="shared" si="177"/>
        <v>#DIV/0!</v>
      </c>
      <c r="AW404" s="393" t="e">
        <f t="shared" si="178"/>
        <v>#DIV/0!</v>
      </c>
      <c r="AX404" s="393" t="e">
        <f t="shared" si="179"/>
        <v>#DIV/0!</v>
      </c>
      <c r="AY404" s="393" t="e">
        <f t="shared" si="180"/>
        <v>#DIV/0!</v>
      </c>
      <c r="AZ404" s="393">
        <f t="shared" si="181"/>
        <v>-100</v>
      </c>
      <c r="BA404" s="393" t="e">
        <f t="shared" si="182"/>
        <v>#DIV/0!</v>
      </c>
      <c r="BB404" s="393" t="e">
        <f t="shared" si="183"/>
        <v>#DIV/0!</v>
      </c>
    </row>
    <row r="405" spans="1:54" x14ac:dyDescent="0.25">
      <c r="A405" s="361" t="s">
        <v>1570</v>
      </c>
      <c r="B405" s="480"/>
      <c r="C405" s="480"/>
      <c r="D405" s="480"/>
      <c r="E405" s="480"/>
      <c r="F405" s="480"/>
      <c r="G405" s="480"/>
      <c r="H405" s="480"/>
      <c r="I405" s="480"/>
      <c r="J405" s="480"/>
      <c r="K405" s="480"/>
      <c r="L405" s="480"/>
      <c r="M405" s="480"/>
      <c r="N405" s="480"/>
      <c r="O405" s="480"/>
      <c r="P405" s="480">
        <f>928/1800</f>
        <v>0.51559999999999995</v>
      </c>
      <c r="Q405" s="480"/>
      <c r="R405" s="480"/>
      <c r="S405" s="480"/>
      <c r="T405" s="480"/>
      <c r="U405" s="480"/>
      <c r="V405" s="480"/>
      <c r="W405" s="480"/>
      <c r="X405" s="480"/>
      <c r="Y405" s="480"/>
      <c r="Z405" s="480"/>
      <c r="AA405" s="480"/>
      <c r="AB405" s="480"/>
      <c r="AC405" s="393" t="e">
        <f t="shared" si="158"/>
        <v>#DIV/0!</v>
      </c>
      <c r="AD405" s="393" t="e">
        <f t="shared" si="159"/>
        <v>#DIV/0!</v>
      </c>
      <c r="AE405" s="393" t="e">
        <f t="shared" si="160"/>
        <v>#DIV/0!</v>
      </c>
      <c r="AF405" s="393" t="e">
        <f t="shared" si="161"/>
        <v>#DIV/0!</v>
      </c>
      <c r="AG405" s="393" t="e">
        <f t="shared" si="162"/>
        <v>#DIV/0!</v>
      </c>
      <c r="AH405" s="393" t="e">
        <f t="shared" si="163"/>
        <v>#DIV/0!</v>
      </c>
      <c r="AI405" s="393" t="e">
        <f t="shared" si="164"/>
        <v>#DIV/0!</v>
      </c>
      <c r="AJ405" s="393" t="e">
        <f t="shared" si="165"/>
        <v>#DIV/0!</v>
      </c>
      <c r="AK405" s="393" t="e">
        <f t="shared" si="166"/>
        <v>#DIV/0!</v>
      </c>
      <c r="AL405" s="393" t="e">
        <f t="shared" si="167"/>
        <v>#DIV/0!</v>
      </c>
      <c r="AM405" s="393" t="e">
        <f t="shared" si="168"/>
        <v>#DIV/0!</v>
      </c>
      <c r="AN405" s="393" t="e">
        <f t="shared" si="169"/>
        <v>#DIV/0!</v>
      </c>
      <c r="AO405" s="393" t="e">
        <f t="shared" si="170"/>
        <v>#DIV/0!</v>
      </c>
      <c r="AP405" s="393" t="e">
        <f t="shared" si="171"/>
        <v>#DIV/0!</v>
      </c>
      <c r="AQ405" s="393">
        <f t="shared" si="172"/>
        <v>-100</v>
      </c>
      <c r="AR405" s="393" t="e">
        <f t="shared" si="173"/>
        <v>#DIV/0!</v>
      </c>
      <c r="AS405" s="393" t="e">
        <f t="shared" si="174"/>
        <v>#DIV/0!</v>
      </c>
      <c r="AT405" s="393" t="e">
        <f t="shared" si="175"/>
        <v>#DIV/0!</v>
      </c>
      <c r="AU405" s="393" t="e">
        <f t="shared" si="176"/>
        <v>#DIV/0!</v>
      </c>
      <c r="AV405" s="393" t="e">
        <f t="shared" si="177"/>
        <v>#DIV/0!</v>
      </c>
      <c r="AW405" s="393" t="e">
        <f t="shared" si="178"/>
        <v>#DIV/0!</v>
      </c>
      <c r="AX405" s="393" t="e">
        <f t="shared" si="179"/>
        <v>#DIV/0!</v>
      </c>
      <c r="AY405" s="393" t="e">
        <f t="shared" si="180"/>
        <v>#DIV/0!</v>
      </c>
      <c r="AZ405" s="393" t="e">
        <f t="shared" si="181"/>
        <v>#DIV/0!</v>
      </c>
      <c r="BA405" s="393" t="e">
        <f t="shared" si="182"/>
        <v>#DIV/0!</v>
      </c>
      <c r="BB405" s="393" t="e">
        <f t="shared" si="183"/>
        <v>#DIV/0!</v>
      </c>
    </row>
    <row r="406" spans="1:54" x14ac:dyDescent="0.25">
      <c r="A406" s="361" t="s">
        <v>827</v>
      </c>
      <c r="B406" s="480"/>
      <c r="C406" s="480"/>
      <c r="D406" s="480"/>
      <c r="E406" s="480"/>
      <c r="F406" s="480">
        <f>579/1200</f>
        <v>0.48249999999999998</v>
      </c>
      <c r="G406" s="480">
        <f>1021/2400</f>
        <v>0.4254</v>
      </c>
      <c r="H406" s="480"/>
      <c r="I406" s="480"/>
      <c r="J406" s="480"/>
      <c r="K406" s="480"/>
      <c r="L406" s="480"/>
      <c r="M406" s="480"/>
      <c r="N406" s="480">
        <f>643/1200</f>
        <v>0.53580000000000005</v>
      </c>
      <c r="O406" s="480"/>
      <c r="P406" s="480"/>
      <c r="Q406" s="480"/>
      <c r="R406" s="480"/>
      <c r="S406" s="480"/>
      <c r="T406" s="480"/>
      <c r="U406" s="480"/>
      <c r="V406" s="480"/>
      <c r="W406" s="480"/>
      <c r="X406" s="480"/>
      <c r="Y406" s="480"/>
      <c r="Z406" s="480"/>
      <c r="AA406" s="480"/>
      <c r="AB406" s="480"/>
      <c r="AC406" s="393" t="e">
        <f t="shared" si="158"/>
        <v>#DIV/0!</v>
      </c>
      <c r="AD406" s="393" t="e">
        <f t="shared" si="159"/>
        <v>#DIV/0!</v>
      </c>
      <c r="AE406" s="393" t="e">
        <f t="shared" si="160"/>
        <v>#DIV/0!</v>
      </c>
      <c r="AF406" s="393" t="e">
        <f t="shared" si="161"/>
        <v>#DIV/0!</v>
      </c>
      <c r="AG406" s="393">
        <f t="shared" si="162"/>
        <v>-11.834</v>
      </c>
      <c r="AH406" s="393">
        <f t="shared" si="163"/>
        <v>-100</v>
      </c>
      <c r="AI406" s="393" t="e">
        <f t="shared" si="164"/>
        <v>#DIV/0!</v>
      </c>
      <c r="AJ406" s="393" t="e">
        <f t="shared" si="165"/>
        <v>#DIV/0!</v>
      </c>
      <c r="AK406" s="393" t="e">
        <f t="shared" si="166"/>
        <v>#DIV/0!</v>
      </c>
      <c r="AL406" s="393" t="e">
        <f t="shared" si="167"/>
        <v>#DIV/0!</v>
      </c>
      <c r="AM406" s="393" t="e">
        <f t="shared" si="168"/>
        <v>#DIV/0!</v>
      </c>
      <c r="AN406" s="393" t="e">
        <f t="shared" si="169"/>
        <v>#DIV/0!</v>
      </c>
      <c r="AO406" s="393">
        <f t="shared" si="170"/>
        <v>-100</v>
      </c>
      <c r="AP406" s="393" t="e">
        <f t="shared" si="171"/>
        <v>#DIV/0!</v>
      </c>
      <c r="AQ406" s="393" t="e">
        <f t="shared" si="172"/>
        <v>#DIV/0!</v>
      </c>
      <c r="AR406" s="393" t="e">
        <f t="shared" si="173"/>
        <v>#DIV/0!</v>
      </c>
      <c r="AS406" s="393" t="e">
        <f t="shared" si="174"/>
        <v>#DIV/0!</v>
      </c>
      <c r="AT406" s="393" t="e">
        <f t="shared" si="175"/>
        <v>#DIV/0!</v>
      </c>
      <c r="AU406" s="393" t="e">
        <f t="shared" si="176"/>
        <v>#DIV/0!</v>
      </c>
      <c r="AV406" s="393" t="e">
        <f t="shared" si="177"/>
        <v>#DIV/0!</v>
      </c>
      <c r="AW406" s="393" t="e">
        <f t="shared" si="178"/>
        <v>#DIV/0!</v>
      </c>
      <c r="AX406" s="393" t="e">
        <f t="shared" si="179"/>
        <v>#DIV/0!</v>
      </c>
      <c r="AY406" s="393" t="e">
        <f t="shared" si="180"/>
        <v>#DIV/0!</v>
      </c>
      <c r="AZ406" s="393" t="e">
        <f t="shared" si="181"/>
        <v>#DIV/0!</v>
      </c>
      <c r="BA406" s="393" t="e">
        <f t="shared" si="182"/>
        <v>#DIV/0!</v>
      </c>
      <c r="BB406" s="393" t="e">
        <f t="shared" si="183"/>
        <v>#DIV/0!</v>
      </c>
    </row>
    <row r="407" spans="1:54" x14ac:dyDescent="0.25">
      <c r="A407" s="565" t="s">
        <v>3115</v>
      </c>
      <c r="B407" s="480"/>
      <c r="C407" s="480">
        <f>827/1800</f>
        <v>0.45939999999999998</v>
      </c>
      <c r="D407" s="480"/>
      <c r="E407" s="480"/>
      <c r="F407" s="480"/>
      <c r="G407" s="480"/>
      <c r="H407" s="480"/>
      <c r="I407" s="480"/>
      <c r="J407" s="480"/>
      <c r="K407" s="480"/>
      <c r="L407" s="480"/>
      <c r="M407" s="480"/>
      <c r="N407" s="480"/>
      <c r="O407" s="480"/>
      <c r="P407" s="480"/>
      <c r="Q407" s="480"/>
      <c r="R407" s="480"/>
      <c r="S407" s="480"/>
      <c r="T407" s="480"/>
      <c r="U407" s="480"/>
      <c r="V407" s="480"/>
      <c r="W407" s="480"/>
      <c r="X407" s="480"/>
      <c r="Y407" s="480"/>
      <c r="Z407" s="480"/>
      <c r="AA407" s="480"/>
      <c r="AB407" s="480"/>
      <c r="AC407" s="393" t="e">
        <f t="shared" si="158"/>
        <v>#DIV/0!</v>
      </c>
      <c r="AD407" s="393">
        <f t="shared" si="159"/>
        <v>-100</v>
      </c>
      <c r="AE407" s="393" t="e">
        <f t="shared" si="160"/>
        <v>#DIV/0!</v>
      </c>
      <c r="AF407" s="393" t="e">
        <f t="shared" si="161"/>
        <v>#DIV/0!</v>
      </c>
      <c r="AG407" s="393" t="e">
        <f t="shared" si="162"/>
        <v>#DIV/0!</v>
      </c>
      <c r="AH407" s="393" t="e">
        <f t="shared" si="163"/>
        <v>#DIV/0!</v>
      </c>
      <c r="AI407" s="393" t="e">
        <f t="shared" si="164"/>
        <v>#DIV/0!</v>
      </c>
      <c r="AJ407" s="393" t="e">
        <f t="shared" si="165"/>
        <v>#DIV/0!</v>
      </c>
      <c r="AK407" s="393" t="e">
        <f t="shared" si="166"/>
        <v>#DIV/0!</v>
      </c>
      <c r="AL407" s="393" t="e">
        <f t="shared" si="167"/>
        <v>#DIV/0!</v>
      </c>
      <c r="AM407" s="393" t="e">
        <f t="shared" si="168"/>
        <v>#DIV/0!</v>
      </c>
      <c r="AN407" s="393" t="e">
        <f t="shared" si="169"/>
        <v>#DIV/0!</v>
      </c>
      <c r="AO407" s="393" t="e">
        <f t="shared" si="170"/>
        <v>#DIV/0!</v>
      </c>
      <c r="AP407" s="393" t="e">
        <f t="shared" si="171"/>
        <v>#DIV/0!</v>
      </c>
      <c r="AQ407" s="393" t="e">
        <f t="shared" si="172"/>
        <v>#DIV/0!</v>
      </c>
      <c r="AR407" s="393" t="e">
        <f t="shared" si="173"/>
        <v>#DIV/0!</v>
      </c>
      <c r="AS407" s="393" t="e">
        <f t="shared" si="174"/>
        <v>#DIV/0!</v>
      </c>
      <c r="AT407" s="393" t="e">
        <f t="shared" si="175"/>
        <v>#DIV/0!</v>
      </c>
      <c r="AU407" s="393" t="e">
        <f t="shared" si="176"/>
        <v>#DIV/0!</v>
      </c>
      <c r="AV407" s="393" t="e">
        <f t="shared" si="177"/>
        <v>#DIV/0!</v>
      </c>
      <c r="AW407" s="393" t="e">
        <f t="shared" si="178"/>
        <v>#DIV/0!</v>
      </c>
      <c r="AX407" s="393" t="e">
        <f t="shared" si="179"/>
        <v>#DIV/0!</v>
      </c>
      <c r="AY407" s="393" t="e">
        <f t="shared" si="180"/>
        <v>#DIV/0!</v>
      </c>
      <c r="AZ407" s="393" t="e">
        <f t="shared" si="181"/>
        <v>#DIV/0!</v>
      </c>
      <c r="BA407" s="393" t="e">
        <f t="shared" si="182"/>
        <v>#DIV/0!</v>
      </c>
      <c r="BB407" s="393" t="e">
        <f t="shared" si="183"/>
        <v>#DIV/0!</v>
      </c>
    </row>
    <row r="408" spans="1:54" x14ac:dyDescent="0.25">
      <c r="A408" s="361" t="s">
        <v>2644</v>
      </c>
      <c r="B408" s="480"/>
      <c r="C408" s="480"/>
      <c r="D408" s="480"/>
      <c r="E408" s="480"/>
      <c r="F408" s="480"/>
      <c r="G408" s="480"/>
      <c r="H408" s="480">
        <f>500/1200</f>
        <v>0.41670000000000001</v>
      </c>
      <c r="I408" s="480">
        <f>409/1200</f>
        <v>0.34079999999999999</v>
      </c>
      <c r="J408" s="480">
        <f>543/1200</f>
        <v>0.45250000000000001</v>
      </c>
      <c r="K408" s="480"/>
      <c r="L408" s="480"/>
      <c r="M408" s="480"/>
      <c r="N408" s="480"/>
      <c r="O408" s="480"/>
      <c r="P408" s="480"/>
      <c r="Q408" s="480"/>
      <c r="R408" s="480"/>
      <c r="S408" s="480"/>
      <c r="T408" s="480"/>
      <c r="U408" s="480"/>
      <c r="V408" s="480"/>
      <c r="W408" s="480"/>
      <c r="X408" s="480"/>
      <c r="Y408" s="480"/>
      <c r="Z408" s="480"/>
      <c r="AA408" s="480"/>
      <c r="AB408" s="480"/>
      <c r="AC408" s="393" t="e">
        <f t="shared" si="158"/>
        <v>#DIV/0!</v>
      </c>
      <c r="AD408" s="393" t="e">
        <f t="shared" si="159"/>
        <v>#DIV/0!</v>
      </c>
      <c r="AE408" s="393" t="e">
        <f t="shared" si="160"/>
        <v>#DIV/0!</v>
      </c>
      <c r="AF408" s="393" t="e">
        <f t="shared" si="161"/>
        <v>#DIV/0!</v>
      </c>
      <c r="AG408" s="393" t="e">
        <f t="shared" si="162"/>
        <v>#DIV/0!</v>
      </c>
      <c r="AH408" s="393" t="e">
        <f t="shared" si="163"/>
        <v>#DIV/0!</v>
      </c>
      <c r="AI408" s="393">
        <f t="shared" si="164"/>
        <v>-18.215</v>
      </c>
      <c r="AJ408" s="393">
        <f t="shared" si="165"/>
        <v>32.776000000000003</v>
      </c>
      <c r="AK408" s="393">
        <f t="shared" si="166"/>
        <v>-100</v>
      </c>
      <c r="AL408" s="393" t="e">
        <f t="shared" si="167"/>
        <v>#DIV/0!</v>
      </c>
      <c r="AM408" s="393" t="e">
        <f t="shared" si="168"/>
        <v>#DIV/0!</v>
      </c>
      <c r="AN408" s="393" t="e">
        <f t="shared" si="169"/>
        <v>#DIV/0!</v>
      </c>
      <c r="AO408" s="393" t="e">
        <f t="shared" si="170"/>
        <v>#DIV/0!</v>
      </c>
      <c r="AP408" s="393" t="e">
        <f t="shared" si="171"/>
        <v>#DIV/0!</v>
      </c>
      <c r="AQ408" s="393" t="e">
        <f t="shared" si="172"/>
        <v>#DIV/0!</v>
      </c>
      <c r="AR408" s="393" t="e">
        <f t="shared" si="173"/>
        <v>#DIV/0!</v>
      </c>
      <c r="AS408" s="393" t="e">
        <f t="shared" si="174"/>
        <v>#DIV/0!</v>
      </c>
      <c r="AT408" s="393" t="e">
        <f t="shared" si="175"/>
        <v>#DIV/0!</v>
      </c>
      <c r="AU408" s="393" t="e">
        <f t="shared" si="176"/>
        <v>#DIV/0!</v>
      </c>
      <c r="AV408" s="393" t="e">
        <f t="shared" si="177"/>
        <v>#DIV/0!</v>
      </c>
      <c r="AW408" s="393" t="e">
        <f t="shared" si="178"/>
        <v>#DIV/0!</v>
      </c>
      <c r="AX408" s="393" t="e">
        <f t="shared" si="179"/>
        <v>#DIV/0!</v>
      </c>
      <c r="AY408" s="393" t="e">
        <f t="shared" si="180"/>
        <v>#DIV/0!</v>
      </c>
      <c r="AZ408" s="393" t="e">
        <f t="shared" si="181"/>
        <v>#DIV/0!</v>
      </c>
      <c r="BA408" s="393" t="e">
        <f t="shared" si="182"/>
        <v>#DIV/0!</v>
      </c>
      <c r="BB408" s="393" t="e">
        <f t="shared" si="183"/>
        <v>#DIV/0!</v>
      </c>
    </row>
    <row r="409" spans="1:54" x14ac:dyDescent="0.25">
      <c r="A409" s="361" t="s">
        <v>1539</v>
      </c>
      <c r="B409" s="480"/>
      <c r="C409" s="480"/>
      <c r="D409" s="480"/>
      <c r="E409" s="480"/>
      <c r="F409" s="480"/>
      <c r="G409" s="480"/>
      <c r="H409" s="480"/>
      <c r="I409" s="480"/>
      <c r="J409" s="480"/>
      <c r="K409" s="480"/>
      <c r="L409" s="480"/>
      <c r="M409" s="480"/>
      <c r="N409" s="480"/>
      <c r="O409" s="480"/>
      <c r="P409" s="480"/>
      <c r="Q409" s="480"/>
      <c r="R409" s="480"/>
      <c r="S409" s="480"/>
      <c r="T409" s="480"/>
      <c r="U409" s="480">
        <f>853/1800</f>
        <v>0.47389999999999999</v>
      </c>
      <c r="V409" s="480"/>
      <c r="W409" s="480"/>
      <c r="X409" s="480"/>
      <c r="Y409" s="480"/>
      <c r="Z409" s="480"/>
      <c r="AA409" s="480"/>
      <c r="AB409" s="480"/>
      <c r="AC409" s="393" t="e">
        <f t="shared" si="158"/>
        <v>#DIV/0!</v>
      </c>
      <c r="AD409" s="393" t="e">
        <f t="shared" si="159"/>
        <v>#DIV/0!</v>
      </c>
      <c r="AE409" s="393" t="e">
        <f t="shared" si="160"/>
        <v>#DIV/0!</v>
      </c>
      <c r="AF409" s="393" t="e">
        <f t="shared" si="161"/>
        <v>#DIV/0!</v>
      </c>
      <c r="AG409" s="393" t="e">
        <f t="shared" si="162"/>
        <v>#DIV/0!</v>
      </c>
      <c r="AH409" s="393" t="e">
        <f t="shared" si="163"/>
        <v>#DIV/0!</v>
      </c>
      <c r="AI409" s="393" t="e">
        <f t="shared" si="164"/>
        <v>#DIV/0!</v>
      </c>
      <c r="AJ409" s="393" t="e">
        <f t="shared" si="165"/>
        <v>#DIV/0!</v>
      </c>
      <c r="AK409" s="393" t="e">
        <f t="shared" si="166"/>
        <v>#DIV/0!</v>
      </c>
      <c r="AL409" s="393" t="e">
        <f t="shared" si="167"/>
        <v>#DIV/0!</v>
      </c>
      <c r="AM409" s="393" t="e">
        <f t="shared" si="168"/>
        <v>#DIV/0!</v>
      </c>
      <c r="AN409" s="393" t="e">
        <f t="shared" si="169"/>
        <v>#DIV/0!</v>
      </c>
      <c r="AO409" s="393" t="e">
        <f t="shared" si="170"/>
        <v>#DIV/0!</v>
      </c>
      <c r="AP409" s="393" t="e">
        <f t="shared" si="171"/>
        <v>#DIV/0!</v>
      </c>
      <c r="AQ409" s="393" t="e">
        <f t="shared" si="172"/>
        <v>#DIV/0!</v>
      </c>
      <c r="AR409" s="393" t="e">
        <f t="shared" si="173"/>
        <v>#DIV/0!</v>
      </c>
      <c r="AS409" s="393" t="e">
        <f t="shared" si="174"/>
        <v>#DIV/0!</v>
      </c>
      <c r="AT409" s="393" t="e">
        <f t="shared" si="175"/>
        <v>#DIV/0!</v>
      </c>
      <c r="AU409" s="393" t="e">
        <f t="shared" si="176"/>
        <v>#DIV/0!</v>
      </c>
      <c r="AV409" s="393">
        <f t="shared" si="177"/>
        <v>-100</v>
      </c>
      <c r="AW409" s="393" t="e">
        <f t="shared" si="178"/>
        <v>#DIV/0!</v>
      </c>
      <c r="AX409" s="393" t="e">
        <f t="shared" si="179"/>
        <v>#DIV/0!</v>
      </c>
      <c r="AY409" s="393" t="e">
        <f t="shared" si="180"/>
        <v>#DIV/0!</v>
      </c>
      <c r="AZ409" s="393" t="e">
        <f t="shared" si="181"/>
        <v>#DIV/0!</v>
      </c>
      <c r="BA409" s="393" t="e">
        <f t="shared" si="182"/>
        <v>#DIV/0!</v>
      </c>
      <c r="BB409" s="393" t="e">
        <f t="shared" si="183"/>
        <v>#DIV/0!</v>
      </c>
    </row>
    <row r="410" spans="1:54" x14ac:dyDescent="0.25">
      <c r="A410" s="361" t="s">
        <v>628</v>
      </c>
      <c r="B410" s="480"/>
      <c r="C410" s="480"/>
      <c r="D410" s="480"/>
      <c r="E410" s="480"/>
      <c r="F410" s="480"/>
      <c r="G410" s="480"/>
      <c r="H410" s="480"/>
      <c r="I410" s="480"/>
      <c r="J410" s="480"/>
      <c r="K410" s="480"/>
      <c r="L410" s="480"/>
      <c r="M410" s="480">
        <f>689/1200</f>
        <v>0.57420000000000004</v>
      </c>
      <c r="N410" s="480"/>
      <c r="O410" s="480"/>
      <c r="P410" s="480"/>
      <c r="Q410" s="480"/>
      <c r="R410" s="480"/>
      <c r="S410" s="480"/>
      <c r="T410" s="480"/>
      <c r="U410" s="480"/>
      <c r="V410" s="480"/>
      <c r="W410" s="480"/>
      <c r="X410" s="480"/>
      <c r="Y410" s="480"/>
      <c r="Z410" s="480"/>
      <c r="AA410" s="480"/>
      <c r="AB410" s="480"/>
      <c r="AC410" s="393" t="e">
        <f t="shared" si="158"/>
        <v>#DIV/0!</v>
      </c>
      <c r="AD410" s="393" t="e">
        <f t="shared" si="159"/>
        <v>#DIV/0!</v>
      </c>
      <c r="AE410" s="393" t="e">
        <f t="shared" si="160"/>
        <v>#DIV/0!</v>
      </c>
      <c r="AF410" s="393" t="e">
        <f t="shared" si="161"/>
        <v>#DIV/0!</v>
      </c>
      <c r="AG410" s="393" t="e">
        <f t="shared" si="162"/>
        <v>#DIV/0!</v>
      </c>
      <c r="AH410" s="393" t="e">
        <f t="shared" si="163"/>
        <v>#DIV/0!</v>
      </c>
      <c r="AI410" s="393" t="e">
        <f t="shared" si="164"/>
        <v>#DIV/0!</v>
      </c>
      <c r="AJ410" s="393" t="e">
        <f t="shared" si="165"/>
        <v>#DIV/0!</v>
      </c>
      <c r="AK410" s="393" t="e">
        <f t="shared" si="166"/>
        <v>#DIV/0!</v>
      </c>
      <c r="AL410" s="393" t="e">
        <f t="shared" si="167"/>
        <v>#DIV/0!</v>
      </c>
      <c r="AM410" s="393" t="e">
        <f t="shared" si="168"/>
        <v>#DIV/0!</v>
      </c>
      <c r="AN410" s="393">
        <f t="shared" si="169"/>
        <v>-100</v>
      </c>
      <c r="AO410" s="393" t="e">
        <f t="shared" si="170"/>
        <v>#DIV/0!</v>
      </c>
      <c r="AP410" s="393" t="e">
        <f t="shared" si="171"/>
        <v>#DIV/0!</v>
      </c>
      <c r="AQ410" s="393" t="e">
        <f t="shared" si="172"/>
        <v>#DIV/0!</v>
      </c>
      <c r="AR410" s="393" t="e">
        <f t="shared" si="173"/>
        <v>#DIV/0!</v>
      </c>
      <c r="AS410" s="393" t="e">
        <f t="shared" si="174"/>
        <v>#DIV/0!</v>
      </c>
      <c r="AT410" s="393" t="e">
        <f t="shared" si="175"/>
        <v>#DIV/0!</v>
      </c>
      <c r="AU410" s="393" t="e">
        <f t="shared" si="176"/>
        <v>#DIV/0!</v>
      </c>
      <c r="AV410" s="393" t="e">
        <f t="shared" si="177"/>
        <v>#DIV/0!</v>
      </c>
      <c r="AW410" s="393" t="e">
        <f t="shared" si="178"/>
        <v>#DIV/0!</v>
      </c>
      <c r="AX410" s="393" t="e">
        <f t="shared" si="179"/>
        <v>#DIV/0!</v>
      </c>
      <c r="AY410" s="393" t="e">
        <f t="shared" si="180"/>
        <v>#DIV/0!</v>
      </c>
      <c r="AZ410" s="393" t="e">
        <f t="shared" si="181"/>
        <v>#DIV/0!</v>
      </c>
      <c r="BA410" s="393" t="e">
        <f t="shared" si="182"/>
        <v>#DIV/0!</v>
      </c>
      <c r="BB410" s="393" t="e">
        <f t="shared" si="183"/>
        <v>#DIV/0!</v>
      </c>
    </row>
    <row r="411" spans="1:54" x14ac:dyDescent="0.25">
      <c r="A411" s="361" t="s">
        <v>625</v>
      </c>
      <c r="B411" s="480"/>
      <c r="C411" s="480"/>
      <c r="D411" s="480"/>
      <c r="E411" s="480"/>
      <c r="F411" s="480"/>
      <c r="G411" s="480"/>
      <c r="H411" s="480"/>
      <c r="I411" s="480"/>
      <c r="J411" s="480"/>
      <c r="K411" s="480"/>
      <c r="L411" s="480"/>
      <c r="M411" s="480">
        <f>722/1200</f>
        <v>0.60170000000000001</v>
      </c>
      <c r="N411" s="480"/>
      <c r="O411" s="480"/>
      <c r="P411" s="480"/>
      <c r="Q411" s="480"/>
      <c r="R411" s="480"/>
      <c r="S411" s="480"/>
      <c r="T411" s="480"/>
      <c r="U411" s="480"/>
      <c r="V411" s="480"/>
      <c r="W411" s="480"/>
      <c r="X411" s="480"/>
      <c r="Y411" s="480"/>
      <c r="Z411" s="480"/>
      <c r="AA411" s="480"/>
      <c r="AB411" s="480"/>
      <c r="AC411" s="393" t="e">
        <f t="shared" si="158"/>
        <v>#DIV/0!</v>
      </c>
      <c r="AD411" s="393" t="e">
        <f t="shared" si="159"/>
        <v>#DIV/0!</v>
      </c>
      <c r="AE411" s="393" t="e">
        <f t="shared" si="160"/>
        <v>#DIV/0!</v>
      </c>
      <c r="AF411" s="393" t="e">
        <f t="shared" si="161"/>
        <v>#DIV/0!</v>
      </c>
      <c r="AG411" s="393" t="e">
        <f t="shared" si="162"/>
        <v>#DIV/0!</v>
      </c>
      <c r="AH411" s="393" t="e">
        <f t="shared" si="163"/>
        <v>#DIV/0!</v>
      </c>
      <c r="AI411" s="393" t="e">
        <f t="shared" si="164"/>
        <v>#DIV/0!</v>
      </c>
      <c r="AJ411" s="393" t="e">
        <f t="shared" si="165"/>
        <v>#DIV/0!</v>
      </c>
      <c r="AK411" s="393" t="e">
        <f t="shared" si="166"/>
        <v>#DIV/0!</v>
      </c>
      <c r="AL411" s="393" t="e">
        <f t="shared" si="167"/>
        <v>#DIV/0!</v>
      </c>
      <c r="AM411" s="393" t="e">
        <f t="shared" si="168"/>
        <v>#DIV/0!</v>
      </c>
      <c r="AN411" s="393">
        <f t="shared" si="169"/>
        <v>-100</v>
      </c>
      <c r="AO411" s="393" t="e">
        <f t="shared" si="170"/>
        <v>#DIV/0!</v>
      </c>
      <c r="AP411" s="393" t="e">
        <f t="shared" si="171"/>
        <v>#DIV/0!</v>
      </c>
      <c r="AQ411" s="393" t="e">
        <f t="shared" si="172"/>
        <v>#DIV/0!</v>
      </c>
      <c r="AR411" s="393" t="e">
        <f t="shared" si="173"/>
        <v>#DIV/0!</v>
      </c>
      <c r="AS411" s="393" t="e">
        <f t="shared" si="174"/>
        <v>#DIV/0!</v>
      </c>
      <c r="AT411" s="393" t="e">
        <f t="shared" si="175"/>
        <v>#DIV/0!</v>
      </c>
      <c r="AU411" s="393" t="e">
        <f t="shared" si="176"/>
        <v>#DIV/0!</v>
      </c>
      <c r="AV411" s="393" t="e">
        <f t="shared" si="177"/>
        <v>#DIV/0!</v>
      </c>
      <c r="AW411" s="393" t="e">
        <f t="shared" si="178"/>
        <v>#DIV/0!</v>
      </c>
      <c r="AX411" s="393" t="e">
        <f t="shared" si="179"/>
        <v>#DIV/0!</v>
      </c>
      <c r="AY411" s="393" t="e">
        <f t="shared" si="180"/>
        <v>#DIV/0!</v>
      </c>
      <c r="AZ411" s="393" t="e">
        <f t="shared" si="181"/>
        <v>#DIV/0!</v>
      </c>
      <c r="BA411" s="393" t="e">
        <f t="shared" si="182"/>
        <v>#DIV/0!</v>
      </c>
      <c r="BB411" s="393" t="e">
        <f t="shared" si="183"/>
        <v>#DIV/0!</v>
      </c>
    </row>
    <row r="412" spans="1:54" x14ac:dyDescent="0.25">
      <c r="A412" s="360" t="s">
        <v>3296</v>
      </c>
      <c r="B412" s="480"/>
      <c r="C412" s="480"/>
      <c r="D412" s="480"/>
      <c r="E412" s="480">
        <f>1196/1800</f>
        <v>0.66439999999999999</v>
      </c>
      <c r="F412" s="480">
        <f>777/1200</f>
        <v>0.64749999999999996</v>
      </c>
      <c r="G412" s="480">
        <f>1558/2400</f>
        <v>0.6492</v>
      </c>
      <c r="H412" s="480"/>
      <c r="I412" s="480"/>
      <c r="J412" s="480"/>
      <c r="K412" s="480"/>
      <c r="L412" s="480"/>
      <c r="M412" s="480"/>
      <c r="N412" s="480"/>
      <c r="O412" s="480"/>
      <c r="P412" s="480"/>
      <c r="Q412" s="480"/>
      <c r="R412" s="480"/>
      <c r="S412" s="480"/>
      <c r="T412" s="480"/>
      <c r="U412" s="480"/>
      <c r="V412" s="480"/>
      <c r="W412" s="480"/>
      <c r="X412" s="480"/>
      <c r="Y412" s="480"/>
      <c r="Z412" s="480"/>
      <c r="AA412" s="480"/>
      <c r="AB412" s="480"/>
      <c r="AC412" s="393" t="e">
        <f t="shared" si="158"/>
        <v>#DIV/0!</v>
      </c>
      <c r="AD412" s="393" t="e">
        <f t="shared" si="159"/>
        <v>#DIV/0!</v>
      </c>
      <c r="AE412" s="393" t="e">
        <f t="shared" si="160"/>
        <v>#DIV/0!</v>
      </c>
      <c r="AF412" s="393">
        <f t="shared" si="161"/>
        <v>-2.544</v>
      </c>
      <c r="AG412" s="393">
        <f t="shared" si="162"/>
        <v>0.26300000000000001</v>
      </c>
      <c r="AH412" s="393">
        <f t="shared" si="163"/>
        <v>-100</v>
      </c>
      <c r="AI412" s="393" t="e">
        <f t="shared" si="164"/>
        <v>#DIV/0!</v>
      </c>
      <c r="AJ412" s="393" t="e">
        <f t="shared" si="165"/>
        <v>#DIV/0!</v>
      </c>
      <c r="AK412" s="393" t="e">
        <f t="shared" si="166"/>
        <v>#DIV/0!</v>
      </c>
      <c r="AL412" s="393" t="e">
        <f t="shared" si="167"/>
        <v>#DIV/0!</v>
      </c>
      <c r="AM412" s="393" t="e">
        <f t="shared" si="168"/>
        <v>#DIV/0!</v>
      </c>
      <c r="AN412" s="393" t="e">
        <f t="shared" si="169"/>
        <v>#DIV/0!</v>
      </c>
      <c r="AO412" s="393" t="e">
        <f t="shared" si="170"/>
        <v>#DIV/0!</v>
      </c>
      <c r="AP412" s="393" t="e">
        <f t="shared" si="171"/>
        <v>#DIV/0!</v>
      </c>
      <c r="AQ412" s="393" t="e">
        <f t="shared" si="172"/>
        <v>#DIV/0!</v>
      </c>
      <c r="AR412" s="393" t="e">
        <f t="shared" si="173"/>
        <v>#DIV/0!</v>
      </c>
      <c r="AS412" s="393" t="e">
        <f t="shared" si="174"/>
        <v>#DIV/0!</v>
      </c>
      <c r="AT412" s="393" t="e">
        <f t="shared" si="175"/>
        <v>#DIV/0!</v>
      </c>
      <c r="AU412" s="393" t="e">
        <f t="shared" si="176"/>
        <v>#DIV/0!</v>
      </c>
      <c r="AV412" s="393" t="e">
        <f t="shared" si="177"/>
        <v>#DIV/0!</v>
      </c>
      <c r="AW412" s="393" t="e">
        <f t="shared" si="178"/>
        <v>#DIV/0!</v>
      </c>
      <c r="AX412" s="393" t="e">
        <f t="shared" si="179"/>
        <v>#DIV/0!</v>
      </c>
      <c r="AY412" s="393" t="e">
        <f t="shared" si="180"/>
        <v>#DIV/0!</v>
      </c>
      <c r="AZ412" s="393" t="e">
        <f t="shared" si="181"/>
        <v>#DIV/0!</v>
      </c>
      <c r="BA412" s="393" t="e">
        <f t="shared" si="182"/>
        <v>#DIV/0!</v>
      </c>
      <c r="BB412" s="393" t="e">
        <f t="shared" si="183"/>
        <v>#DIV/0!</v>
      </c>
    </row>
    <row r="413" spans="1:54" x14ac:dyDescent="0.25">
      <c r="A413" s="361" t="s">
        <v>617</v>
      </c>
      <c r="B413" s="480"/>
      <c r="C413" s="480"/>
      <c r="D413" s="480"/>
      <c r="E413" s="480"/>
      <c r="F413" s="480"/>
      <c r="G413" s="480"/>
      <c r="H413" s="480"/>
      <c r="I413" s="480"/>
      <c r="J413" s="480"/>
      <c r="K413" s="480"/>
      <c r="L413" s="480">
        <f>797/1200</f>
        <v>0.66420000000000001</v>
      </c>
      <c r="M413" s="480"/>
      <c r="N413" s="480"/>
      <c r="O413" s="480"/>
      <c r="P413" s="480"/>
      <c r="Q413" s="480"/>
      <c r="R413" s="480"/>
      <c r="S413" s="480"/>
      <c r="T413" s="480"/>
      <c r="U413" s="480"/>
      <c r="V413" s="480"/>
      <c r="W413" s="480"/>
      <c r="X413" s="480"/>
      <c r="Y413" s="480"/>
      <c r="Z413" s="480"/>
      <c r="AA413" s="480"/>
      <c r="AB413" s="480"/>
      <c r="AC413" s="393" t="e">
        <f t="shared" si="158"/>
        <v>#DIV/0!</v>
      </c>
      <c r="AD413" s="393" t="e">
        <f t="shared" si="159"/>
        <v>#DIV/0!</v>
      </c>
      <c r="AE413" s="393" t="e">
        <f t="shared" si="160"/>
        <v>#DIV/0!</v>
      </c>
      <c r="AF413" s="393" t="e">
        <f t="shared" si="161"/>
        <v>#DIV/0!</v>
      </c>
      <c r="AG413" s="393" t="e">
        <f t="shared" si="162"/>
        <v>#DIV/0!</v>
      </c>
      <c r="AH413" s="393" t="e">
        <f t="shared" si="163"/>
        <v>#DIV/0!</v>
      </c>
      <c r="AI413" s="393" t="e">
        <f t="shared" si="164"/>
        <v>#DIV/0!</v>
      </c>
      <c r="AJ413" s="393" t="e">
        <f t="shared" si="165"/>
        <v>#DIV/0!</v>
      </c>
      <c r="AK413" s="393" t="e">
        <f t="shared" si="166"/>
        <v>#DIV/0!</v>
      </c>
      <c r="AL413" s="393" t="e">
        <f t="shared" si="167"/>
        <v>#DIV/0!</v>
      </c>
      <c r="AM413" s="393">
        <f t="shared" si="168"/>
        <v>-100</v>
      </c>
      <c r="AN413" s="393" t="e">
        <f t="shared" si="169"/>
        <v>#DIV/0!</v>
      </c>
      <c r="AO413" s="393" t="e">
        <f t="shared" si="170"/>
        <v>#DIV/0!</v>
      </c>
      <c r="AP413" s="393" t="e">
        <f t="shared" si="171"/>
        <v>#DIV/0!</v>
      </c>
      <c r="AQ413" s="393" t="e">
        <f t="shared" si="172"/>
        <v>#DIV/0!</v>
      </c>
      <c r="AR413" s="393" t="e">
        <f t="shared" si="173"/>
        <v>#DIV/0!</v>
      </c>
      <c r="AS413" s="393" t="e">
        <f t="shared" si="174"/>
        <v>#DIV/0!</v>
      </c>
      <c r="AT413" s="393" t="e">
        <f t="shared" si="175"/>
        <v>#DIV/0!</v>
      </c>
      <c r="AU413" s="393" t="e">
        <f t="shared" si="176"/>
        <v>#DIV/0!</v>
      </c>
      <c r="AV413" s="393" t="e">
        <f t="shared" si="177"/>
        <v>#DIV/0!</v>
      </c>
      <c r="AW413" s="393" t="e">
        <f t="shared" si="178"/>
        <v>#DIV/0!</v>
      </c>
      <c r="AX413" s="393" t="e">
        <f t="shared" si="179"/>
        <v>#DIV/0!</v>
      </c>
      <c r="AY413" s="393" t="e">
        <f t="shared" si="180"/>
        <v>#DIV/0!</v>
      </c>
      <c r="AZ413" s="393" t="e">
        <f t="shared" si="181"/>
        <v>#DIV/0!</v>
      </c>
      <c r="BA413" s="393" t="e">
        <f t="shared" si="182"/>
        <v>#DIV/0!</v>
      </c>
      <c r="BB413" s="393" t="e">
        <f t="shared" si="183"/>
        <v>#DIV/0!</v>
      </c>
    </row>
    <row r="414" spans="1:54" x14ac:dyDescent="0.25">
      <c r="A414" s="361" t="s">
        <v>1585</v>
      </c>
      <c r="B414" s="480"/>
      <c r="C414" s="480"/>
      <c r="D414" s="480"/>
      <c r="E414" s="480"/>
      <c r="F414" s="480"/>
      <c r="G414" s="480"/>
      <c r="H414" s="480"/>
      <c r="I414" s="480"/>
      <c r="J414" s="480"/>
      <c r="K414" s="480"/>
      <c r="L414" s="480"/>
      <c r="M414" s="480"/>
      <c r="N414" s="480"/>
      <c r="O414" s="480"/>
      <c r="P414" s="480"/>
      <c r="Q414" s="480"/>
      <c r="R414" s="480">
        <f>1138/1800</f>
        <v>0.63219999999999998</v>
      </c>
      <c r="S414" s="480"/>
      <c r="T414" s="480">
        <f>768/1200</f>
        <v>0.64</v>
      </c>
      <c r="U414" s="480">
        <f>1195/1800</f>
        <v>0.66390000000000005</v>
      </c>
      <c r="V414" s="480"/>
      <c r="W414" s="480"/>
      <c r="X414" s="480"/>
      <c r="Y414" s="480"/>
      <c r="Z414" s="480"/>
      <c r="AA414" s="480"/>
      <c r="AB414" s="480"/>
      <c r="AC414" s="393" t="e">
        <f t="shared" si="158"/>
        <v>#DIV/0!</v>
      </c>
      <c r="AD414" s="393" t="e">
        <f t="shared" si="159"/>
        <v>#DIV/0!</v>
      </c>
      <c r="AE414" s="393" t="e">
        <f t="shared" si="160"/>
        <v>#DIV/0!</v>
      </c>
      <c r="AF414" s="393" t="e">
        <f t="shared" si="161"/>
        <v>#DIV/0!</v>
      </c>
      <c r="AG414" s="393" t="e">
        <f t="shared" si="162"/>
        <v>#DIV/0!</v>
      </c>
      <c r="AH414" s="393" t="e">
        <f t="shared" si="163"/>
        <v>#DIV/0!</v>
      </c>
      <c r="AI414" s="393" t="e">
        <f t="shared" si="164"/>
        <v>#DIV/0!</v>
      </c>
      <c r="AJ414" s="393" t="e">
        <f t="shared" si="165"/>
        <v>#DIV/0!</v>
      </c>
      <c r="AK414" s="393" t="e">
        <f t="shared" si="166"/>
        <v>#DIV/0!</v>
      </c>
      <c r="AL414" s="393" t="e">
        <f t="shared" si="167"/>
        <v>#DIV/0!</v>
      </c>
      <c r="AM414" s="393" t="e">
        <f t="shared" si="168"/>
        <v>#DIV/0!</v>
      </c>
      <c r="AN414" s="393" t="e">
        <f t="shared" si="169"/>
        <v>#DIV/0!</v>
      </c>
      <c r="AO414" s="393" t="e">
        <f t="shared" si="170"/>
        <v>#DIV/0!</v>
      </c>
      <c r="AP414" s="393" t="e">
        <f t="shared" si="171"/>
        <v>#DIV/0!</v>
      </c>
      <c r="AQ414" s="393" t="e">
        <f t="shared" si="172"/>
        <v>#DIV/0!</v>
      </c>
      <c r="AR414" s="393" t="e">
        <f t="shared" si="173"/>
        <v>#DIV/0!</v>
      </c>
      <c r="AS414" s="393">
        <f t="shared" si="174"/>
        <v>-100</v>
      </c>
      <c r="AT414" s="393" t="e">
        <f t="shared" si="175"/>
        <v>#DIV/0!</v>
      </c>
      <c r="AU414" s="393">
        <f t="shared" si="176"/>
        <v>3.734</v>
      </c>
      <c r="AV414" s="393">
        <f t="shared" si="177"/>
        <v>-100</v>
      </c>
      <c r="AW414" s="393" t="e">
        <f t="shared" si="178"/>
        <v>#DIV/0!</v>
      </c>
      <c r="AX414" s="393" t="e">
        <f t="shared" si="179"/>
        <v>#DIV/0!</v>
      </c>
      <c r="AY414" s="393" t="e">
        <f t="shared" si="180"/>
        <v>#DIV/0!</v>
      </c>
      <c r="AZ414" s="393" t="e">
        <f t="shared" si="181"/>
        <v>#DIV/0!</v>
      </c>
      <c r="BA414" s="393" t="e">
        <f t="shared" si="182"/>
        <v>#DIV/0!</v>
      </c>
      <c r="BB414" s="393" t="e">
        <f t="shared" si="183"/>
        <v>#DIV/0!</v>
      </c>
    </row>
    <row r="415" spans="1:54" x14ac:dyDescent="0.25">
      <c r="A415" s="361" t="s">
        <v>493</v>
      </c>
      <c r="B415" s="480"/>
      <c r="C415" s="480"/>
      <c r="D415" s="480"/>
      <c r="E415" s="480"/>
      <c r="F415" s="480"/>
      <c r="G415" s="480"/>
      <c r="H415" s="480"/>
      <c r="I415" s="480"/>
      <c r="J415" s="480"/>
      <c r="K415" s="480"/>
      <c r="L415" s="480"/>
      <c r="M415" s="480"/>
      <c r="N415" s="480"/>
      <c r="O415" s="480"/>
      <c r="P415" s="480"/>
      <c r="Q415" s="480"/>
      <c r="R415" s="480"/>
      <c r="S415" s="480">
        <f>993/1800</f>
        <v>0.55169999999999997</v>
      </c>
      <c r="T415" s="480"/>
      <c r="U415" s="480"/>
      <c r="V415" s="480"/>
      <c r="W415" s="480"/>
      <c r="X415" s="480"/>
      <c r="Y415" s="480"/>
      <c r="Z415" s="480"/>
      <c r="AA415" s="480"/>
      <c r="AB415" s="480"/>
      <c r="AC415" s="393" t="e">
        <f t="shared" si="158"/>
        <v>#DIV/0!</v>
      </c>
      <c r="AD415" s="393" t="e">
        <f t="shared" si="159"/>
        <v>#DIV/0!</v>
      </c>
      <c r="AE415" s="393" t="e">
        <f t="shared" si="160"/>
        <v>#DIV/0!</v>
      </c>
      <c r="AF415" s="393" t="e">
        <f t="shared" si="161"/>
        <v>#DIV/0!</v>
      </c>
      <c r="AG415" s="393" t="e">
        <f t="shared" si="162"/>
        <v>#DIV/0!</v>
      </c>
      <c r="AH415" s="393" t="e">
        <f t="shared" si="163"/>
        <v>#DIV/0!</v>
      </c>
      <c r="AI415" s="393" t="e">
        <f t="shared" si="164"/>
        <v>#DIV/0!</v>
      </c>
      <c r="AJ415" s="393" t="e">
        <f t="shared" si="165"/>
        <v>#DIV/0!</v>
      </c>
      <c r="AK415" s="393" t="e">
        <f t="shared" si="166"/>
        <v>#DIV/0!</v>
      </c>
      <c r="AL415" s="393" t="e">
        <f t="shared" si="167"/>
        <v>#DIV/0!</v>
      </c>
      <c r="AM415" s="393" t="e">
        <f t="shared" si="168"/>
        <v>#DIV/0!</v>
      </c>
      <c r="AN415" s="393" t="e">
        <f t="shared" si="169"/>
        <v>#DIV/0!</v>
      </c>
      <c r="AO415" s="393" t="e">
        <f t="shared" si="170"/>
        <v>#DIV/0!</v>
      </c>
      <c r="AP415" s="393" t="e">
        <f t="shared" si="171"/>
        <v>#DIV/0!</v>
      </c>
      <c r="AQ415" s="393" t="e">
        <f t="shared" si="172"/>
        <v>#DIV/0!</v>
      </c>
      <c r="AR415" s="393" t="e">
        <f t="shared" si="173"/>
        <v>#DIV/0!</v>
      </c>
      <c r="AS415" s="393" t="e">
        <f t="shared" si="174"/>
        <v>#DIV/0!</v>
      </c>
      <c r="AT415" s="393">
        <f t="shared" si="175"/>
        <v>-100</v>
      </c>
      <c r="AU415" s="393" t="e">
        <f t="shared" si="176"/>
        <v>#DIV/0!</v>
      </c>
      <c r="AV415" s="393" t="e">
        <f t="shared" si="177"/>
        <v>#DIV/0!</v>
      </c>
      <c r="AW415" s="393" t="e">
        <f t="shared" si="178"/>
        <v>#DIV/0!</v>
      </c>
      <c r="AX415" s="393" t="e">
        <f t="shared" si="179"/>
        <v>#DIV/0!</v>
      </c>
      <c r="AY415" s="393" t="e">
        <f t="shared" si="180"/>
        <v>#DIV/0!</v>
      </c>
      <c r="AZ415" s="393" t="e">
        <f t="shared" si="181"/>
        <v>#DIV/0!</v>
      </c>
      <c r="BA415" s="393" t="e">
        <f t="shared" si="182"/>
        <v>#DIV/0!</v>
      </c>
      <c r="BB415" s="393" t="e">
        <f t="shared" si="183"/>
        <v>#DIV/0!</v>
      </c>
    </row>
    <row r="416" spans="1:54" x14ac:dyDescent="0.25">
      <c r="A416" s="361" t="s">
        <v>2343</v>
      </c>
      <c r="B416" s="480"/>
      <c r="C416" s="480"/>
      <c r="D416" s="480"/>
      <c r="E416" s="480"/>
      <c r="F416" s="480"/>
      <c r="G416" s="480"/>
      <c r="H416" s="480"/>
      <c r="I416" s="480"/>
      <c r="J416" s="480"/>
      <c r="K416" s="480"/>
      <c r="L416" s="480"/>
      <c r="M416" s="480"/>
      <c r="N416" s="480"/>
      <c r="O416" s="480"/>
      <c r="P416" s="480"/>
      <c r="Q416" s="480"/>
      <c r="R416" s="480"/>
      <c r="S416" s="480"/>
      <c r="T416" s="480"/>
      <c r="U416" s="480">
        <f>1235/1800</f>
        <v>0.68610000000000004</v>
      </c>
      <c r="V416" s="480"/>
      <c r="W416" s="480"/>
      <c r="X416" s="480"/>
      <c r="Y416" s="480"/>
      <c r="Z416" s="480"/>
      <c r="AA416" s="480"/>
      <c r="AB416" s="480"/>
      <c r="AC416" s="393" t="e">
        <f t="shared" si="158"/>
        <v>#DIV/0!</v>
      </c>
      <c r="AD416" s="393" t="e">
        <f t="shared" si="159"/>
        <v>#DIV/0!</v>
      </c>
      <c r="AE416" s="393" t="e">
        <f t="shared" si="160"/>
        <v>#DIV/0!</v>
      </c>
      <c r="AF416" s="393" t="e">
        <f t="shared" si="161"/>
        <v>#DIV/0!</v>
      </c>
      <c r="AG416" s="393" t="e">
        <f t="shared" si="162"/>
        <v>#DIV/0!</v>
      </c>
      <c r="AH416" s="393" t="e">
        <f t="shared" si="163"/>
        <v>#DIV/0!</v>
      </c>
      <c r="AI416" s="393" t="e">
        <f t="shared" si="164"/>
        <v>#DIV/0!</v>
      </c>
      <c r="AJ416" s="393" t="e">
        <f t="shared" si="165"/>
        <v>#DIV/0!</v>
      </c>
      <c r="AK416" s="393" t="e">
        <f t="shared" si="166"/>
        <v>#DIV/0!</v>
      </c>
      <c r="AL416" s="393" t="e">
        <f t="shared" si="167"/>
        <v>#DIV/0!</v>
      </c>
      <c r="AM416" s="393" t="e">
        <f t="shared" si="168"/>
        <v>#DIV/0!</v>
      </c>
      <c r="AN416" s="393" t="e">
        <f t="shared" si="169"/>
        <v>#DIV/0!</v>
      </c>
      <c r="AO416" s="393" t="e">
        <f t="shared" si="170"/>
        <v>#DIV/0!</v>
      </c>
      <c r="AP416" s="393" t="e">
        <f t="shared" si="171"/>
        <v>#DIV/0!</v>
      </c>
      <c r="AQ416" s="393" t="e">
        <f t="shared" si="172"/>
        <v>#DIV/0!</v>
      </c>
      <c r="AR416" s="393" t="e">
        <f t="shared" si="173"/>
        <v>#DIV/0!</v>
      </c>
      <c r="AS416" s="393" t="e">
        <f t="shared" si="174"/>
        <v>#DIV/0!</v>
      </c>
      <c r="AT416" s="393" t="e">
        <f t="shared" si="175"/>
        <v>#DIV/0!</v>
      </c>
      <c r="AU416" s="393" t="e">
        <f t="shared" si="176"/>
        <v>#DIV/0!</v>
      </c>
      <c r="AV416" s="393">
        <f t="shared" si="177"/>
        <v>-100</v>
      </c>
      <c r="AW416" s="393" t="e">
        <f t="shared" si="178"/>
        <v>#DIV/0!</v>
      </c>
      <c r="AX416" s="393" t="e">
        <f t="shared" si="179"/>
        <v>#DIV/0!</v>
      </c>
      <c r="AY416" s="393" t="e">
        <f t="shared" si="180"/>
        <v>#DIV/0!</v>
      </c>
      <c r="AZ416" s="393" t="e">
        <f t="shared" si="181"/>
        <v>#DIV/0!</v>
      </c>
      <c r="BA416" s="393" t="e">
        <f t="shared" si="182"/>
        <v>#DIV/0!</v>
      </c>
      <c r="BB416" s="393" t="e">
        <f t="shared" si="183"/>
        <v>#DIV/0!</v>
      </c>
    </row>
    <row r="417" spans="1:54" x14ac:dyDescent="0.25">
      <c r="A417" s="361" t="s">
        <v>3505</v>
      </c>
      <c r="B417" s="480"/>
      <c r="C417" s="480"/>
      <c r="D417" s="480"/>
      <c r="E417" s="480"/>
      <c r="F417" s="480"/>
      <c r="G417" s="480"/>
      <c r="H417" s="480"/>
      <c r="I417" s="480"/>
      <c r="J417" s="480"/>
      <c r="K417" s="480"/>
      <c r="L417" s="480"/>
      <c r="M417" s="480"/>
      <c r="N417" s="480"/>
      <c r="O417" s="480"/>
      <c r="P417" s="480"/>
      <c r="Q417" s="480">
        <f>1144/1800</f>
        <v>0.63560000000000005</v>
      </c>
      <c r="R417" s="480"/>
      <c r="S417" s="480"/>
      <c r="T417" s="480"/>
      <c r="U417" s="480"/>
      <c r="V417" s="480"/>
      <c r="W417" s="480"/>
      <c r="X417" s="480"/>
      <c r="Y417" s="480"/>
      <c r="Z417" s="480"/>
      <c r="AA417" s="480"/>
      <c r="AB417" s="480"/>
      <c r="AC417" s="393" t="e">
        <f t="shared" si="158"/>
        <v>#DIV/0!</v>
      </c>
      <c r="AD417" s="393" t="e">
        <f t="shared" si="159"/>
        <v>#DIV/0!</v>
      </c>
      <c r="AE417" s="393" t="e">
        <f t="shared" si="160"/>
        <v>#DIV/0!</v>
      </c>
      <c r="AF417" s="393" t="e">
        <f t="shared" si="161"/>
        <v>#DIV/0!</v>
      </c>
      <c r="AG417" s="393" t="e">
        <f t="shared" si="162"/>
        <v>#DIV/0!</v>
      </c>
      <c r="AH417" s="393" t="e">
        <f t="shared" si="163"/>
        <v>#DIV/0!</v>
      </c>
      <c r="AI417" s="393" t="e">
        <f t="shared" si="164"/>
        <v>#DIV/0!</v>
      </c>
      <c r="AJ417" s="393" t="e">
        <f t="shared" si="165"/>
        <v>#DIV/0!</v>
      </c>
      <c r="AK417" s="393" t="e">
        <f t="shared" si="166"/>
        <v>#DIV/0!</v>
      </c>
      <c r="AL417" s="393" t="e">
        <f t="shared" si="167"/>
        <v>#DIV/0!</v>
      </c>
      <c r="AM417" s="393" t="e">
        <f t="shared" si="168"/>
        <v>#DIV/0!</v>
      </c>
      <c r="AN417" s="393" t="e">
        <f t="shared" si="169"/>
        <v>#DIV/0!</v>
      </c>
      <c r="AO417" s="393" t="e">
        <f t="shared" si="170"/>
        <v>#DIV/0!</v>
      </c>
      <c r="AP417" s="393" t="e">
        <f t="shared" si="171"/>
        <v>#DIV/0!</v>
      </c>
      <c r="AQ417" s="393" t="e">
        <f t="shared" si="172"/>
        <v>#DIV/0!</v>
      </c>
      <c r="AR417" s="393">
        <f t="shared" si="173"/>
        <v>-100</v>
      </c>
      <c r="AS417" s="393" t="e">
        <f t="shared" si="174"/>
        <v>#DIV/0!</v>
      </c>
      <c r="AT417" s="393" t="e">
        <f t="shared" si="175"/>
        <v>#DIV/0!</v>
      </c>
      <c r="AU417" s="393" t="e">
        <f t="shared" si="176"/>
        <v>#DIV/0!</v>
      </c>
      <c r="AV417" s="393" t="e">
        <f t="shared" si="177"/>
        <v>#DIV/0!</v>
      </c>
      <c r="AW417" s="393" t="e">
        <f t="shared" si="178"/>
        <v>#DIV/0!</v>
      </c>
      <c r="AX417" s="393" t="e">
        <f t="shared" si="179"/>
        <v>#DIV/0!</v>
      </c>
      <c r="AY417" s="393" t="e">
        <f t="shared" si="180"/>
        <v>#DIV/0!</v>
      </c>
      <c r="AZ417" s="393" t="e">
        <f t="shared" si="181"/>
        <v>#DIV/0!</v>
      </c>
      <c r="BA417" s="393" t="e">
        <f t="shared" si="182"/>
        <v>#DIV/0!</v>
      </c>
      <c r="BB417" s="393" t="e">
        <f t="shared" si="183"/>
        <v>#DIV/0!</v>
      </c>
    </row>
    <row r="418" spans="1:54" x14ac:dyDescent="0.25">
      <c r="A418" s="361" t="s">
        <v>4820</v>
      </c>
      <c r="B418" s="480"/>
      <c r="C418" s="480"/>
      <c r="D418" s="480"/>
      <c r="E418" s="480"/>
      <c r="F418" s="480"/>
      <c r="G418" s="480"/>
      <c r="H418" s="480"/>
      <c r="I418" s="480"/>
      <c r="J418" s="480"/>
      <c r="K418" s="480"/>
      <c r="L418" s="480"/>
      <c r="M418" s="480"/>
      <c r="N418" s="480"/>
      <c r="O418" s="480"/>
      <c r="P418" s="480"/>
      <c r="Q418" s="480"/>
      <c r="R418" s="480"/>
      <c r="S418" s="480"/>
      <c r="T418" s="480"/>
      <c r="U418" s="480"/>
      <c r="V418" s="480"/>
      <c r="W418" s="480"/>
      <c r="X418" s="480"/>
      <c r="Y418" s="480"/>
      <c r="Z418" s="480"/>
      <c r="AA418" s="480"/>
      <c r="AB418" s="480">
        <v>0.67100000000000004</v>
      </c>
      <c r="AC418" s="393" t="e">
        <f t="shared" si="158"/>
        <v>#DIV/0!</v>
      </c>
      <c r="AD418" s="393" t="e">
        <f t="shared" si="159"/>
        <v>#DIV/0!</v>
      </c>
      <c r="AE418" s="393" t="e">
        <f t="shared" si="160"/>
        <v>#DIV/0!</v>
      </c>
      <c r="AF418" s="393" t="e">
        <f t="shared" si="161"/>
        <v>#DIV/0!</v>
      </c>
      <c r="AG418" s="393" t="e">
        <f t="shared" si="162"/>
        <v>#DIV/0!</v>
      </c>
      <c r="AH418" s="393" t="e">
        <f t="shared" si="163"/>
        <v>#DIV/0!</v>
      </c>
      <c r="AI418" s="393" t="e">
        <f t="shared" si="164"/>
        <v>#DIV/0!</v>
      </c>
      <c r="AJ418" s="393" t="e">
        <f t="shared" si="165"/>
        <v>#DIV/0!</v>
      </c>
      <c r="AK418" s="393" t="e">
        <f t="shared" si="166"/>
        <v>#DIV/0!</v>
      </c>
      <c r="AL418" s="393" t="e">
        <f t="shared" si="167"/>
        <v>#DIV/0!</v>
      </c>
      <c r="AM418" s="393" t="e">
        <f t="shared" si="168"/>
        <v>#DIV/0!</v>
      </c>
      <c r="AN418" s="393" t="e">
        <f t="shared" si="169"/>
        <v>#DIV/0!</v>
      </c>
      <c r="AO418" s="393" t="e">
        <f t="shared" si="170"/>
        <v>#DIV/0!</v>
      </c>
      <c r="AP418" s="393" t="e">
        <f t="shared" si="171"/>
        <v>#DIV/0!</v>
      </c>
      <c r="AQ418" s="393" t="e">
        <f t="shared" si="172"/>
        <v>#DIV/0!</v>
      </c>
      <c r="AR418" s="393" t="e">
        <f t="shared" si="173"/>
        <v>#DIV/0!</v>
      </c>
      <c r="AS418" s="393" t="e">
        <f t="shared" si="174"/>
        <v>#DIV/0!</v>
      </c>
      <c r="AT418" s="393" t="e">
        <f t="shared" si="175"/>
        <v>#DIV/0!</v>
      </c>
      <c r="AU418" s="393" t="e">
        <f t="shared" si="176"/>
        <v>#DIV/0!</v>
      </c>
      <c r="AV418" s="393" t="e">
        <f t="shared" si="177"/>
        <v>#DIV/0!</v>
      </c>
      <c r="AW418" s="393" t="e">
        <f t="shared" si="178"/>
        <v>#DIV/0!</v>
      </c>
      <c r="AX418" s="393" t="e">
        <f t="shared" si="179"/>
        <v>#DIV/0!</v>
      </c>
      <c r="AY418" s="393" t="e">
        <f t="shared" si="180"/>
        <v>#DIV/0!</v>
      </c>
      <c r="AZ418" s="393" t="e">
        <f t="shared" si="181"/>
        <v>#DIV/0!</v>
      </c>
      <c r="BA418" s="393" t="e">
        <f t="shared" si="182"/>
        <v>#DIV/0!</v>
      </c>
      <c r="BB418" s="393" t="e">
        <f t="shared" si="183"/>
        <v>#DIV/0!</v>
      </c>
    </row>
    <row r="419" spans="1:54" x14ac:dyDescent="0.25">
      <c r="A419" s="361" t="s">
        <v>1610</v>
      </c>
      <c r="B419" s="480"/>
      <c r="C419" s="480"/>
      <c r="D419" s="480"/>
      <c r="E419" s="480"/>
      <c r="F419" s="480"/>
      <c r="G419" s="480"/>
      <c r="H419" s="480"/>
      <c r="I419" s="480"/>
      <c r="J419" s="480"/>
      <c r="K419" s="480"/>
      <c r="L419" s="480"/>
      <c r="M419" s="480"/>
      <c r="N419" s="480"/>
      <c r="O419" s="480"/>
      <c r="P419" s="480"/>
      <c r="Q419" s="480"/>
      <c r="R419" s="480"/>
      <c r="S419" s="480">
        <f>1010/1800</f>
        <v>0.56110000000000004</v>
      </c>
      <c r="T419" s="480">
        <f>665/1200</f>
        <v>0.55420000000000003</v>
      </c>
      <c r="U419" s="480"/>
      <c r="V419" s="480"/>
      <c r="W419" s="480"/>
      <c r="X419" s="480"/>
      <c r="Y419" s="480"/>
      <c r="Z419" s="480"/>
      <c r="AA419" s="480"/>
      <c r="AB419" s="480"/>
      <c r="AC419" s="393" t="e">
        <f t="shared" si="158"/>
        <v>#DIV/0!</v>
      </c>
      <c r="AD419" s="393" t="e">
        <f t="shared" si="159"/>
        <v>#DIV/0!</v>
      </c>
      <c r="AE419" s="393" t="e">
        <f t="shared" si="160"/>
        <v>#DIV/0!</v>
      </c>
      <c r="AF419" s="393" t="e">
        <f t="shared" si="161"/>
        <v>#DIV/0!</v>
      </c>
      <c r="AG419" s="393" t="e">
        <f t="shared" si="162"/>
        <v>#DIV/0!</v>
      </c>
      <c r="AH419" s="393" t="e">
        <f t="shared" si="163"/>
        <v>#DIV/0!</v>
      </c>
      <c r="AI419" s="393" t="e">
        <f t="shared" si="164"/>
        <v>#DIV/0!</v>
      </c>
      <c r="AJ419" s="393" t="e">
        <f t="shared" si="165"/>
        <v>#DIV/0!</v>
      </c>
      <c r="AK419" s="393" t="e">
        <f t="shared" si="166"/>
        <v>#DIV/0!</v>
      </c>
      <c r="AL419" s="393" t="e">
        <f t="shared" si="167"/>
        <v>#DIV/0!</v>
      </c>
      <c r="AM419" s="393" t="e">
        <f t="shared" si="168"/>
        <v>#DIV/0!</v>
      </c>
      <c r="AN419" s="393" t="e">
        <f t="shared" si="169"/>
        <v>#DIV/0!</v>
      </c>
      <c r="AO419" s="393" t="e">
        <f t="shared" si="170"/>
        <v>#DIV/0!</v>
      </c>
      <c r="AP419" s="393" t="e">
        <f t="shared" si="171"/>
        <v>#DIV/0!</v>
      </c>
      <c r="AQ419" s="393" t="e">
        <f t="shared" si="172"/>
        <v>#DIV/0!</v>
      </c>
      <c r="AR419" s="393" t="e">
        <f t="shared" si="173"/>
        <v>#DIV/0!</v>
      </c>
      <c r="AS419" s="393" t="e">
        <f t="shared" si="174"/>
        <v>#DIV/0!</v>
      </c>
      <c r="AT419" s="393">
        <f t="shared" si="175"/>
        <v>-1.23</v>
      </c>
      <c r="AU419" s="393">
        <f t="shared" si="176"/>
        <v>-100</v>
      </c>
      <c r="AV419" s="393" t="e">
        <f t="shared" si="177"/>
        <v>#DIV/0!</v>
      </c>
      <c r="AW419" s="393" t="e">
        <f t="shared" si="178"/>
        <v>#DIV/0!</v>
      </c>
      <c r="AX419" s="393" t="e">
        <f t="shared" si="179"/>
        <v>#DIV/0!</v>
      </c>
      <c r="AY419" s="393" t="e">
        <f t="shared" si="180"/>
        <v>#DIV/0!</v>
      </c>
      <c r="AZ419" s="393" t="e">
        <f t="shared" si="181"/>
        <v>#DIV/0!</v>
      </c>
      <c r="BA419" s="393" t="e">
        <f t="shared" si="182"/>
        <v>#DIV/0!</v>
      </c>
      <c r="BB419" s="393" t="e">
        <f t="shared" si="183"/>
        <v>#DIV/0!</v>
      </c>
    </row>
    <row r="420" spans="1:54" x14ac:dyDescent="0.25">
      <c r="A420" s="361" t="s">
        <v>84</v>
      </c>
      <c r="B420" s="480"/>
      <c r="C420" s="480"/>
      <c r="D420" s="480"/>
      <c r="E420" s="480"/>
      <c r="F420" s="480"/>
      <c r="G420" s="480"/>
      <c r="H420" s="480"/>
      <c r="I420" s="480"/>
      <c r="J420" s="480"/>
      <c r="K420" s="480"/>
      <c r="L420" s="480"/>
      <c r="M420" s="480"/>
      <c r="N420" s="480"/>
      <c r="O420" s="480"/>
      <c r="P420" s="480"/>
      <c r="Q420" s="480"/>
      <c r="R420" s="480"/>
      <c r="S420" s="480"/>
      <c r="T420" s="480"/>
      <c r="U420" s="480">
        <f>981/1800</f>
        <v>0.54500000000000004</v>
      </c>
      <c r="V420" s="480"/>
      <c r="W420" s="480"/>
      <c r="X420" s="480"/>
      <c r="Y420" s="480"/>
      <c r="Z420" s="480"/>
      <c r="AA420" s="480"/>
      <c r="AB420" s="480"/>
      <c r="AC420" s="393" t="e">
        <f t="shared" si="158"/>
        <v>#DIV/0!</v>
      </c>
      <c r="AD420" s="393" t="e">
        <f t="shared" si="159"/>
        <v>#DIV/0!</v>
      </c>
      <c r="AE420" s="393" t="e">
        <f t="shared" si="160"/>
        <v>#DIV/0!</v>
      </c>
      <c r="AF420" s="393" t="e">
        <f t="shared" si="161"/>
        <v>#DIV/0!</v>
      </c>
      <c r="AG420" s="393" t="e">
        <f t="shared" si="162"/>
        <v>#DIV/0!</v>
      </c>
      <c r="AH420" s="393" t="e">
        <f t="shared" si="163"/>
        <v>#DIV/0!</v>
      </c>
      <c r="AI420" s="393" t="e">
        <f t="shared" si="164"/>
        <v>#DIV/0!</v>
      </c>
      <c r="AJ420" s="393" t="e">
        <f t="shared" si="165"/>
        <v>#DIV/0!</v>
      </c>
      <c r="AK420" s="393" t="e">
        <f t="shared" si="166"/>
        <v>#DIV/0!</v>
      </c>
      <c r="AL420" s="393" t="e">
        <f t="shared" si="167"/>
        <v>#DIV/0!</v>
      </c>
      <c r="AM420" s="393" t="e">
        <f t="shared" si="168"/>
        <v>#DIV/0!</v>
      </c>
      <c r="AN420" s="393" t="e">
        <f t="shared" si="169"/>
        <v>#DIV/0!</v>
      </c>
      <c r="AO420" s="393" t="e">
        <f t="shared" si="170"/>
        <v>#DIV/0!</v>
      </c>
      <c r="AP420" s="393" t="e">
        <f t="shared" si="171"/>
        <v>#DIV/0!</v>
      </c>
      <c r="AQ420" s="393" t="e">
        <f t="shared" si="172"/>
        <v>#DIV/0!</v>
      </c>
      <c r="AR420" s="393" t="e">
        <f t="shared" si="173"/>
        <v>#DIV/0!</v>
      </c>
      <c r="AS420" s="393" t="e">
        <f t="shared" si="174"/>
        <v>#DIV/0!</v>
      </c>
      <c r="AT420" s="393" t="e">
        <f t="shared" si="175"/>
        <v>#DIV/0!</v>
      </c>
      <c r="AU420" s="393" t="e">
        <f t="shared" si="176"/>
        <v>#DIV/0!</v>
      </c>
      <c r="AV420" s="393">
        <f t="shared" si="177"/>
        <v>-100</v>
      </c>
      <c r="AW420" s="393" t="e">
        <f t="shared" si="178"/>
        <v>#DIV/0!</v>
      </c>
      <c r="AX420" s="393" t="e">
        <f t="shared" si="179"/>
        <v>#DIV/0!</v>
      </c>
      <c r="AY420" s="393" t="e">
        <f t="shared" si="180"/>
        <v>#DIV/0!</v>
      </c>
      <c r="AZ420" s="393" t="e">
        <f t="shared" si="181"/>
        <v>#DIV/0!</v>
      </c>
      <c r="BA420" s="393" t="e">
        <f t="shared" si="182"/>
        <v>#DIV/0!</v>
      </c>
      <c r="BB420" s="393" t="e">
        <f t="shared" si="183"/>
        <v>#DIV/0!</v>
      </c>
    </row>
    <row r="421" spans="1:54" x14ac:dyDescent="0.25">
      <c r="A421" s="361" t="s">
        <v>1552</v>
      </c>
      <c r="B421" s="480"/>
      <c r="C421" s="480"/>
      <c r="D421" s="480"/>
      <c r="E421" s="480"/>
      <c r="F421" s="480"/>
      <c r="G421" s="480"/>
      <c r="H421" s="480"/>
      <c r="I421" s="480"/>
      <c r="J421" s="480"/>
      <c r="K421" s="480"/>
      <c r="L421" s="480"/>
      <c r="M421" s="480"/>
      <c r="N421" s="480">
        <f>710/1200</f>
        <v>0.5917</v>
      </c>
      <c r="O421" s="480">
        <f>719/1200</f>
        <v>0.59919999999999995</v>
      </c>
      <c r="P421" s="480"/>
      <c r="Q421" s="480"/>
      <c r="R421" s="480"/>
      <c r="S421" s="480"/>
      <c r="T421" s="480"/>
      <c r="U421" s="480"/>
      <c r="V421" s="480"/>
      <c r="W421" s="480"/>
      <c r="X421" s="480"/>
      <c r="Y421" s="480"/>
      <c r="Z421" s="480"/>
      <c r="AA421" s="480"/>
      <c r="AB421" s="480"/>
      <c r="AC421" s="393" t="e">
        <f t="shared" si="158"/>
        <v>#DIV/0!</v>
      </c>
      <c r="AD421" s="393" t="e">
        <f t="shared" si="159"/>
        <v>#DIV/0!</v>
      </c>
      <c r="AE421" s="393" t="e">
        <f t="shared" si="160"/>
        <v>#DIV/0!</v>
      </c>
      <c r="AF421" s="393" t="e">
        <f t="shared" si="161"/>
        <v>#DIV/0!</v>
      </c>
      <c r="AG421" s="393" t="e">
        <f t="shared" si="162"/>
        <v>#DIV/0!</v>
      </c>
      <c r="AH421" s="393" t="e">
        <f t="shared" si="163"/>
        <v>#DIV/0!</v>
      </c>
      <c r="AI421" s="393" t="e">
        <f t="shared" si="164"/>
        <v>#DIV/0!</v>
      </c>
      <c r="AJ421" s="393" t="e">
        <f t="shared" si="165"/>
        <v>#DIV/0!</v>
      </c>
      <c r="AK421" s="393" t="e">
        <f t="shared" si="166"/>
        <v>#DIV/0!</v>
      </c>
      <c r="AL421" s="393" t="e">
        <f t="shared" si="167"/>
        <v>#DIV/0!</v>
      </c>
      <c r="AM421" s="393" t="e">
        <f t="shared" si="168"/>
        <v>#DIV/0!</v>
      </c>
      <c r="AN421" s="393" t="e">
        <f t="shared" si="169"/>
        <v>#DIV/0!</v>
      </c>
      <c r="AO421" s="393">
        <f t="shared" si="170"/>
        <v>1.268</v>
      </c>
      <c r="AP421" s="393">
        <f t="shared" si="171"/>
        <v>-100</v>
      </c>
      <c r="AQ421" s="393" t="e">
        <f t="shared" si="172"/>
        <v>#DIV/0!</v>
      </c>
      <c r="AR421" s="393" t="e">
        <f t="shared" si="173"/>
        <v>#DIV/0!</v>
      </c>
      <c r="AS421" s="393" t="e">
        <f t="shared" si="174"/>
        <v>#DIV/0!</v>
      </c>
      <c r="AT421" s="393" t="e">
        <f t="shared" si="175"/>
        <v>#DIV/0!</v>
      </c>
      <c r="AU421" s="393" t="e">
        <f t="shared" si="176"/>
        <v>#DIV/0!</v>
      </c>
      <c r="AV421" s="393" t="e">
        <f t="shared" si="177"/>
        <v>#DIV/0!</v>
      </c>
      <c r="AW421" s="393" t="e">
        <f t="shared" si="178"/>
        <v>#DIV/0!</v>
      </c>
      <c r="AX421" s="393" t="e">
        <f t="shared" si="179"/>
        <v>#DIV/0!</v>
      </c>
      <c r="AY421" s="393" t="e">
        <f t="shared" si="180"/>
        <v>#DIV/0!</v>
      </c>
      <c r="AZ421" s="393" t="e">
        <f t="shared" si="181"/>
        <v>#DIV/0!</v>
      </c>
      <c r="BA421" s="393" t="e">
        <f t="shared" si="182"/>
        <v>#DIV/0!</v>
      </c>
      <c r="BB421" s="393" t="e">
        <f t="shared" si="183"/>
        <v>#DIV/0!</v>
      </c>
    </row>
    <row r="422" spans="1:54" x14ac:dyDescent="0.25">
      <c r="A422" s="361" t="s">
        <v>629</v>
      </c>
      <c r="B422" s="480"/>
      <c r="C422" s="480"/>
      <c r="D422" s="480"/>
      <c r="E422" s="480"/>
      <c r="F422" s="480"/>
      <c r="G422" s="480"/>
      <c r="H422" s="480"/>
      <c r="I422" s="480"/>
      <c r="J422" s="480"/>
      <c r="K422" s="480"/>
      <c r="L422" s="480"/>
      <c r="M422" s="480">
        <f>685/1200</f>
        <v>0.57079999999999997</v>
      </c>
      <c r="N422" s="480">
        <f>619/1200</f>
        <v>0.51580000000000004</v>
      </c>
      <c r="O422" s="480"/>
      <c r="P422" s="480">
        <f>1020/1800</f>
        <v>0.56669999999999998</v>
      </c>
      <c r="Q422" s="480">
        <f>971/1800</f>
        <v>0.53939999999999999</v>
      </c>
      <c r="R422" s="480"/>
      <c r="S422" s="480"/>
      <c r="T422" s="480"/>
      <c r="U422" s="480"/>
      <c r="V422" s="480"/>
      <c r="W422" s="480"/>
      <c r="X422" s="480"/>
      <c r="Y422" s="480"/>
      <c r="Z422" s="480"/>
      <c r="AA422" s="480"/>
      <c r="AB422" s="480"/>
      <c r="AC422" s="393" t="e">
        <f t="shared" si="158"/>
        <v>#DIV/0!</v>
      </c>
      <c r="AD422" s="393" t="e">
        <f t="shared" si="159"/>
        <v>#DIV/0!</v>
      </c>
      <c r="AE422" s="393" t="e">
        <f t="shared" si="160"/>
        <v>#DIV/0!</v>
      </c>
      <c r="AF422" s="393" t="e">
        <f t="shared" si="161"/>
        <v>#DIV/0!</v>
      </c>
      <c r="AG422" s="393" t="e">
        <f t="shared" si="162"/>
        <v>#DIV/0!</v>
      </c>
      <c r="AH422" s="393" t="e">
        <f t="shared" si="163"/>
        <v>#DIV/0!</v>
      </c>
      <c r="AI422" s="393" t="e">
        <f t="shared" si="164"/>
        <v>#DIV/0!</v>
      </c>
      <c r="AJ422" s="393" t="e">
        <f t="shared" si="165"/>
        <v>#DIV/0!</v>
      </c>
      <c r="AK422" s="393" t="e">
        <f t="shared" si="166"/>
        <v>#DIV/0!</v>
      </c>
      <c r="AL422" s="393" t="e">
        <f t="shared" si="167"/>
        <v>#DIV/0!</v>
      </c>
      <c r="AM422" s="393" t="e">
        <f t="shared" si="168"/>
        <v>#DIV/0!</v>
      </c>
      <c r="AN422" s="393">
        <f t="shared" si="169"/>
        <v>-9.6359999999999992</v>
      </c>
      <c r="AO422" s="393">
        <f t="shared" si="170"/>
        <v>-100</v>
      </c>
      <c r="AP422" s="393" t="e">
        <f t="shared" si="171"/>
        <v>#DIV/0!</v>
      </c>
      <c r="AQ422" s="393">
        <f t="shared" si="172"/>
        <v>-4.8170000000000002</v>
      </c>
      <c r="AR422" s="393">
        <f t="shared" si="173"/>
        <v>-100</v>
      </c>
      <c r="AS422" s="393" t="e">
        <f t="shared" si="174"/>
        <v>#DIV/0!</v>
      </c>
      <c r="AT422" s="393" t="e">
        <f t="shared" si="175"/>
        <v>#DIV/0!</v>
      </c>
      <c r="AU422" s="393" t="e">
        <f t="shared" si="176"/>
        <v>#DIV/0!</v>
      </c>
      <c r="AV422" s="393" t="e">
        <f t="shared" si="177"/>
        <v>#DIV/0!</v>
      </c>
      <c r="AW422" s="393" t="e">
        <f t="shared" si="178"/>
        <v>#DIV/0!</v>
      </c>
      <c r="AX422" s="393" t="e">
        <f t="shared" si="179"/>
        <v>#DIV/0!</v>
      </c>
      <c r="AY422" s="393" t="e">
        <f t="shared" si="180"/>
        <v>#DIV/0!</v>
      </c>
      <c r="AZ422" s="393" t="e">
        <f t="shared" si="181"/>
        <v>#DIV/0!</v>
      </c>
      <c r="BA422" s="393" t="e">
        <f t="shared" si="182"/>
        <v>#DIV/0!</v>
      </c>
      <c r="BB422" s="393" t="e">
        <f t="shared" si="183"/>
        <v>#DIV/0!</v>
      </c>
    </row>
    <row r="423" spans="1:54" x14ac:dyDescent="0.25">
      <c r="A423" s="361" t="s">
        <v>3300</v>
      </c>
      <c r="B423" s="480"/>
      <c r="C423" s="480"/>
      <c r="D423" s="480"/>
      <c r="E423" s="480"/>
      <c r="F423" s="480"/>
      <c r="G423" s="480"/>
      <c r="H423" s="480"/>
      <c r="I423" s="480">
        <f>696/1200</f>
        <v>0.57999999999999996</v>
      </c>
      <c r="J423" s="480"/>
      <c r="K423" s="480"/>
      <c r="L423" s="480"/>
      <c r="M423" s="480"/>
      <c r="N423" s="480"/>
      <c r="O423" s="480"/>
      <c r="P423" s="480"/>
      <c r="Q423" s="480"/>
      <c r="R423" s="480"/>
      <c r="S423" s="480"/>
      <c r="T423" s="480"/>
      <c r="U423" s="480"/>
      <c r="V423" s="481"/>
      <c r="W423" s="481"/>
      <c r="X423" s="481"/>
      <c r="Y423" s="481"/>
      <c r="Z423" s="481"/>
      <c r="AA423" s="481"/>
      <c r="AB423" s="481"/>
      <c r="AC423" s="393" t="e">
        <f t="shared" si="158"/>
        <v>#DIV/0!</v>
      </c>
      <c r="AD423" s="393" t="e">
        <f t="shared" si="159"/>
        <v>#DIV/0!</v>
      </c>
      <c r="AE423" s="393" t="e">
        <f t="shared" si="160"/>
        <v>#DIV/0!</v>
      </c>
      <c r="AF423" s="393" t="e">
        <f t="shared" si="161"/>
        <v>#DIV/0!</v>
      </c>
      <c r="AG423" s="393" t="e">
        <f t="shared" si="162"/>
        <v>#DIV/0!</v>
      </c>
      <c r="AH423" s="393" t="e">
        <f t="shared" si="163"/>
        <v>#DIV/0!</v>
      </c>
      <c r="AI423" s="393" t="e">
        <f t="shared" si="164"/>
        <v>#DIV/0!</v>
      </c>
      <c r="AJ423" s="393">
        <f t="shared" si="165"/>
        <v>-100</v>
      </c>
      <c r="AK423" s="393" t="e">
        <f t="shared" si="166"/>
        <v>#DIV/0!</v>
      </c>
      <c r="AL423" s="393" t="e">
        <f t="shared" si="167"/>
        <v>#DIV/0!</v>
      </c>
      <c r="AM423" s="393" t="e">
        <f t="shared" si="168"/>
        <v>#DIV/0!</v>
      </c>
      <c r="AN423" s="393" t="e">
        <f t="shared" si="169"/>
        <v>#DIV/0!</v>
      </c>
      <c r="AO423" s="393" t="e">
        <f t="shared" si="170"/>
        <v>#DIV/0!</v>
      </c>
      <c r="AP423" s="393" t="e">
        <f t="shared" si="171"/>
        <v>#DIV/0!</v>
      </c>
      <c r="AQ423" s="393" t="e">
        <f t="shared" si="172"/>
        <v>#DIV/0!</v>
      </c>
      <c r="AR423" s="393" t="e">
        <f t="shared" si="173"/>
        <v>#DIV/0!</v>
      </c>
      <c r="AS423" s="393" t="e">
        <f t="shared" si="174"/>
        <v>#DIV/0!</v>
      </c>
      <c r="AT423" s="393" t="e">
        <f t="shared" si="175"/>
        <v>#DIV/0!</v>
      </c>
      <c r="AU423" s="393" t="e">
        <f t="shared" si="176"/>
        <v>#DIV/0!</v>
      </c>
      <c r="AV423" s="393" t="e">
        <f t="shared" si="177"/>
        <v>#DIV/0!</v>
      </c>
      <c r="AW423" s="393" t="e">
        <f t="shared" si="178"/>
        <v>#DIV/0!</v>
      </c>
      <c r="AX423" s="393" t="e">
        <f t="shared" si="179"/>
        <v>#DIV/0!</v>
      </c>
      <c r="AY423" s="393" t="e">
        <f t="shared" si="180"/>
        <v>#DIV/0!</v>
      </c>
      <c r="AZ423" s="393" t="e">
        <f t="shared" si="181"/>
        <v>#DIV/0!</v>
      </c>
      <c r="BA423" s="393" t="e">
        <f t="shared" si="182"/>
        <v>#DIV/0!</v>
      </c>
      <c r="BB423" s="393" t="e">
        <f t="shared" si="183"/>
        <v>#DIV/0!</v>
      </c>
    </row>
    <row r="424" spans="1:54" x14ac:dyDescent="0.25">
      <c r="A424" s="361" t="s">
        <v>999</v>
      </c>
      <c r="B424" s="480"/>
      <c r="C424" s="480"/>
      <c r="D424" s="480"/>
      <c r="E424" s="480"/>
      <c r="F424" s="480"/>
      <c r="G424" s="480"/>
      <c r="H424" s="480"/>
      <c r="I424" s="480"/>
      <c r="J424" s="480"/>
      <c r="K424" s="480"/>
      <c r="L424" s="480"/>
      <c r="M424" s="480"/>
      <c r="N424" s="480"/>
      <c r="O424" s="480"/>
      <c r="P424" s="480"/>
      <c r="Q424" s="480"/>
      <c r="R424" s="480"/>
      <c r="S424" s="480"/>
      <c r="T424" s="480"/>
      <c r="U424" s="480"/>
      <c r="V424" s="480"/>
      <c r="W424" s="480">
        <f>627/1200</f>
        <v>0.52249999999999996</v>
      </c>
      <c r="X424" s="480"/>
      <c r="Y424" s="480"/>
      <c r="Z424" s="480"/>
      <c r="AA424" s="480"/>
      <c r="AB424" s="480"/>
      <c r="AC424" s="393" t="e">
        <f t="shared" si="158"/>
        <v>#DIV/0!</v>
      </c>
      <c r="AD424" s="393" t="e">
        <f t="shared" si="159"/>
        <v>#DIV/0!</v>
      </c>
      <c r="AE424" s="393" t="e">
        <f t="shared" si="160"/>
        <v>#DIV/0!</v>
      </c>
      <c r="AF424" s="393" t="e">
        <f t="shared" si="161"/>
        <v>#DIV/0!</v>
      </c>
      <c r="AG424" s="393" t="e">
        <f t="shared" si="162"/>
        <v>#DIV/0!</v>
      </c>
      <c r="AH424" s="393" t="e">
        <f t="shared" si="163"/>
        <v>#DIV/0!</v>
      </c>
      <c r="AI424" s="393" t="e">
        <f t="shared" si="164"/>
        <v>#DIV/0!</v>
      </c>
      <c r="AJ424" s="393" t="e">
        <f t="shared" si="165"/>
        <v>#DIV/0!</v>
      </c>
      <c r="AK424" s="393" t="e">
        <f t="shared" si="166"/>
        <v>#DIV/0!</v>
      </c>
      <c r="AL424" s="393" t="e">
        <f t="shared" si="167"/>
        <v>#DIV/0!</v>
      </c>
      <c r="AM424" s="393" t="e">
        <f t="shared" si="168"/>
        <v>#DIV/0!</v>
      </c>
      <c r="AN424" s="393" t="e">
        <f t="shared" si="169"/>
        <v>#DIV/0!</v>
      </c>
      <c r="AO424" s="393" t="e">
        <f t="shared" si="170"/>
        <v>#DIV/0!</v>
      </c>
      <c r="AP424" s="393" t="e">
        <f t="shared" si="171"/>
        <v>#DIV/0!</v>
      </c>
      <c r="AQ424" s="393" t="e">
        <f t="shared" si="172"/>
        <v>#DIV/0!</v>
      </c>
      <c r="AR424" s="393" t="e">
        <f t="shared" si="173"/>
        <v>#DIV/0!</v>
      </c>
      <c r="AS424" s="393" t="e">
        <f t="shared" si="174"/>
        <v>#DIV/0!</v>
      </c>
      <c r="AT424" s="393" t="e">
        <f t="shared" si="175"/>
        <v>#DIV/0!</v>
      </c>
      <c r="AU424" s="393" t="e">
        <f t="shared" si="176"/>
        <v>#DIV/0!</v>
      </c>
      <c r="AV424" s="393" t="e">
        <f t="shared" si="177"/>
        <v>#DIV/0!</v>
      </c>
      <c r="AW424" s="393" t="e">
        <f t="shared" si="178"/>
        <v>#DIV/0!</v>
      </c>
      <c r="AX424" s="393">
        <f t="shared" si="179"/>
        <v>-100</v>
      </c>
      <c r="AY424" s="393" t="e">
        <f t="shared" si="180"/>
        <v>#DIV/0!</v>
      </c>
      <c r="AZ424" s="393" t="e">
        <f t="shared" si="181"/>
        <v>#DIV/0!</v>
      </c>
      <c r="BA424" s="393" t="e">
        <f t="shared" si="182"/>
        <v>#DIV/0!</v>
      </c>
      <c r="BB424" s="393" t="e">
        <f t="shared" si="183"/>
        <v>#DIV/0!</v>
      </c>
    </row>
    <row r="425" spans="1:54" x14ac:dyDescent="0.25">
      <c r="A425" s="361" t="s">
        <v>626</v>
      </c>
      <c r="B425" s="480"/>
      <c r="C425" s="480"/>
      <c r="D425" s="480"/>
      <c r="E425" s="480"/>
      <c r="F425" s="480"/>
      <c r="G425" s="480"/>
      <c r="H425" s="480"/>
      <c r="I425" s="480"/>
      <c r="J425" s="480"/>
      <c r="K425" s="480"/>
      <c r="L425" s="480"/>
      <c r="M425" s="480">
        <f>718/1200</f>
        <v>0.59830000000000005</v>
      </c>
      <c r="N425" s="480"/>
      <c r="O425" s="480"/>
      <c r="P425" s="480"/>
      <c r="Q425" s="480"/>
      <c r="R425" s="480"/>
      <c r="S425" s="480"/>
      <c r="T425" s="480"/>
      <c r="U425" s="480"/>
      <c r="V425" s="480"/>
      <c r="W425" s="480"/>
      <c r="X425" s="480"/>
      <c r="Y425" s="480"/>
      <c r="Z425" s="480"/>
      <c r="AA425" s="480"/>
      <c r="AB425" s="480"/>
      <c r="AC425" s="393" t="e">
        <f t="shared" si="158"/>
        <v>#DIV/0!</v>
      </c>
      <c r="AD425" s="393" t="e">
        <f t="shared" si="159"/>
        <v>#DIV/0!</v>
      </c>
      <c r="AE425" s="393" t="e">
        <f t="shared" si="160"/>
        <v>#DIV/0!</v>
      </c>
      <c r="AF425" s="393" t="e">
        <f t="shared" si="161"/>
        <v>#DIV/0!</v>
      </c>
      <c r="AG425" s="393" t="e">
        <f t="shared" si="162"/>
        <v>#DIV/0!</v>
      </c>
      <c r="AH425" s="393" t="e">
        <f t="shared" si="163"/>
        <v>#DIV/0!</v>
      </c>
      <c r="AI425" s="393" t="e">
        <f t="shared" si="164"/>
        <v>#DIV/0!</v>
      </c>
      <c r="AJ425" s="393" t="e">
        <f t="shared" si="165"/>
        <v>#DIV/0!</v>
      </c>
      <c r="AK425" s="393" t="e">
        <f t="shared" si="166"/>
        <v>#DIV/0!</v>
      </c>
      <c r="AL425" s="393" t="e">
        <f t="shared" si="167"/>
        <v>#DIV/0!</v>
      </c>
      <c r="AM425" s="393" t="e">
        <f t="shared" si="168"/>
        <v>#DIV/0!</v>
      </c>
      <c r="AN425" s="393">
        <f t="shared" si="169"/>
        <v>-100</v>
      </c>
      <c r="AO425" s="393" t="e">
        <f t="shared" si="170"/>
        <v>#DIV/0!</v>
      </c>
      <c r="AP425" s="393" t="e">
        <f t="shared" si="171"/>
        <v>#DIV/0!</v>
      </c>
      <c r="AQ425" s="393" t="e">
        <f t="shared" si="172"/>
        <v>#DIV/0!</v>
      </c>
      <c r="AR425" s="393" t="e">
        <f t="shared" si="173"/>
        <v>#DIV/0!</v>
      </c>
      <c r="AS425" s="393" t="e">
        <f t="shared" si="174"/>
        <v>#DIV/0!</v>
      </c>
      <c r="AT425" s="393" t="e">
        <f t="shared" si="175"/>
        <v>#DIV/0!</v>
      </c>
      <c r="AU425" s="393" t="e">
        <f t="shared" si="176"/>
        <v>#DIV/0!</v>
      </c>
      <c r="AV425" s="393" t="e">
        <f t="shared" si="177"/>
        <v>#DIV/0!</v>
      </c>
      <c r="AW425" s="393" t="e">
        <f t="shared" si="178"/>
        <v>#DIV/0!</v>
      </c>
      <c r="AX425" s="393" t="e">
        <f t="shared" si="179"/>
        <v>#DIV/0!</v>
      </c>
      <c r="AY425" s="393" t="e">
        <f t="shared" si="180"/>
        <v>#DIV/0!</v>
      </c>
      <c r="AZ425" s="393" t="e">
        <f t="shared" si="181"/>
        <v>#DIV/0!</v>
      </c>
      <c r="BA425" s="393" t="e">
        <f t="shared" si="182"/>
        <v>#DIV/0!</v>
      </c>
      <c r="BB425" s="393" t="e">
        <f t="shared" si="183"/>
        <v>#DIV/0!</v>
      </c>
    </row>
    <row r="426" spans="1:54" x14ac:dyDescent="0.25">
      <c r="A426" s="361" t="s">
        <v>2681</v>
      </c>
      <c r="B426" s="480"/>
      <c r="C426" s="480"/>
      <c r="D426" s="480"/>
      <c r="E426" s="480"/>
      <c r="F426" s="480"/>
      <c r="G426" s="480"/>
      <c r="H426" s="480"/>
      <c r="I426" s="480"/>
      <c r="J426" s="480"/>
      <c r="K426" s="480"/>
      <c r="L426" s="480"/>
      <c r="M426" s="480"/>
      <c r="N426" s="480"/>
      <c r="O426" s="480"/>
      <c r="P426" s="480"/>
      <c r="Q426" s="480"/>
      <c r="R426" s="480"/>
      <c r="S426" s="480">
        <f>971/1800</f>
        <v>0.53939999999999999</v>
      </c>
      <c r="T426" s="480"/>
      <c r="U426" s="480"/>
      <c r="V426" s="480"/>
      <c r="W426" s="480"/>
      <c r="X426" s="480"/>
      <c r="Y426" s="480"/>
      <c r="Z426" s="480"/>
      <c r="AA426" s="480"/>
      <c r="AB426" s="480"/>
      <c r="AC426" s="393" t="e">
        <f t="shared" si="158"/>
        <v>#DIV/0!</v>
      </c>
      <c r="AD426" s="393" t="e">
        <f t="shared" si="159"/>
        <v>#DIV/0!</v>
      </c>
      <c r="AE426" s="393" t="e">
        <f t="shared" si="160"/>
        <v>#DIV/0!</v>
      </c>
      <c r="AF426" s="393" t="e">
        <f t="shared" si="161"/>
        <v>#DIV/0!</v>
      </c>
      <c r="AG426" s="393" t="e">
        <f t="shared" si="162"/>
        <v>#DIV/0!</v>
      </c>
      <c r="AH426" s="393" t="e">
        <f t="shared" si="163"/>
        <v>#DIV/0!</v>
      </c>
      <c r="AI426" s="393" t="e">
        <f t="shared" si="164"/>
        <v>#DIV/0!</v>
      </c>
      <c r="AJ426" s="393" t="e">
        <f t="shared" si="165"/>
        <v>#DIV/0!</v>
      </c>
      <c r="AK426" s="393" t="e">
        <f t="shared" si="166"/>
        <v>#DIV/0!</v>
      </c>
      <c r="AL426" s="393" t="e">
        <f t="shared" si="167"/>
        <v>#DIV/0!</v>
      </c>
      <c r="AM426" s="393" t="e">
        <f t="shared" si="168"/>
        <v>#DIV/0!</v>
      </c>
      <c r="AN426" s="393" t="e">
        <f t="shared" si="169"/>
        <v>#DIV/0!</v>
      </c>
      <c r="AO426" s="393" t="e">
        <f t="shared" si="170"/>
        <v>#DIV/0!</v>
      </c>
      <c r="AP426" s="393" t="e">
        <f t="shared" si="171"/>
        <v>#DIV/0!</v>
      </c>
      <c r="AQ426" s="393" t="e">
        <f t="shared" si="172"/>
        <v>#DIV/0!</v>
      </c>
      <c r="AR426" s="393" t="e">
        <f t="shared" si="173"/>
        <v>#DIV/0!</v>
      </c>
      <c r="AS426" s="393" t="e">
        <f t="shared" si="174"/>
        <v>#DIV/0!</v>
      </c>
      <c r="AT426" s="393">
        <f t="shared" si="175"/>
        <v>-100</v>
      </c>
      <c r="AU426" s="393" t="e">
        <f t="shared" si="176"/>
        <v>#DIV/0!</v>
      </c>
      <c r="AV426" s="393" t="e">
        <f t="shared" si="177"/>
        <v>#DIV/0!</v>
      </c>
      <c r="AW426" s="393" t="e">
        <f t="shared" si="178"/>
        <v>#DIV/0!</v>
      </c>
      <c r="AX426" s="393" t="e">
        <f t="shared" si="179"/>
        <v>#DIV/0!</v>
      </c>
      <c r="AY426" s="393" t="e">
        <f t="shared" si="180"/>
        <v>#DIV/0!</v>
      </c>
      <c r="AZ426" s="393" t="e">
        <f t="shared" si="181"/>
        <v>#DIV/0!</v>
      </c>
      <c r="BA426" s="393" t="e">
        <f t="shared" si="182"/>
        <v>#DIV/0!</v>
      </c>
      <c r="BB426" s="393" t="e">
        <f t="shared" si="183"/>
        <v>#DIV/0!</v>
      </c>
    </row>
    <row r="427" spans="1:54" x14ac:dyDescent="0.25">
      <c r="A427" s="361" t="s">
        <v>1586</v>
      </c>
      <c r="B427" s="480"/>
      <c r="C427" s="480"/>
      <c r="D427" s="480"/>
      <c r="E427" s="480"/>
      <c r="F427" s="480"/>
      <c r="G427" s="480"/>
      <c r="H427" s="480"/>
      <c r="I427" s="480"/>
      <c r="J427" s="480"/>
      <c r="K427" s="480"/>
      <c r="L427" s="480"/>
      <c r="M427" s="480"/>
      <c r="N427" s="480"/>
      <c r="O427" s="480"/>
      <c r="P427" s="480"/>
      <c r="Q427" s="480"/>
      <c r="R427" s="480">
        <f>1129/1800</f>
        <v>0.62719999999999998</v>
      </c>
      <c r="S427" s="480">
        <f>1215/1800</f>
        <v>0.67500000000000004</v>
      </c>
      <c r="T427" s="480"/>
      <c r="U427" s="480"/>
      <c r="V427" s="480"/>
      <c r="W427" s="480"/>
      <c r="X427" s="480"/>
      <c r="Y427" s="480"/>
      <c r="Z427" s="480"/>
      <c r="AA427" s="480"/>
      <c r="AB427" s="480"/>
      <c r="AC427" s="393" t="e">
        <f t="shared" si="158"/>
        <v>#DIV/0!</v>
      </c>
      <c r="AD427" s="393" t="e">
        <f t="shared" si="159"/>
        <v>#DIV/0!</v>
      </c>
      <c r="AE427" s="393" t="e">
        <f t="shared" si="160"/>
        <v>#DIV/0!</v>
      </c>
      <c r="AF427" s="393" t="e">
        <f t="shared" si="161"/>
        <v>#DIV/0!</v>
      </c>
      <c r="AG427" s="393" t="e">
        <f t="shared" si="162"/>
        <v>#DIV/0!</v>
      </c>
      <c r="AH427" s="393" t="e">
        <f t="shared" si="163"/>
        <v>#DIV/0!</v>
      </c>
      <c r="AI427" s="393" t="e">
        <f t="shared" si="164"/>
        <v>#DIV/0!</v>
      </c>
      <c r="AJ427" s="393" t="e">
        <f t="shared" si="165"/>
        <v>#DIV/0!</v>
      </c>
      <c r="AK427" s="393" t="e">
        <f t="shared" si="166"/>
        <v>#DIV/0!</v>
      </c>
      <c r="AL427" s="393" t="e">
        <f t="shared" si="167"/>
        <v>#DIV/0!</v>
      </c>
      <c r="AM427" s="393" t="e">
        <f t="shared" si="168"/>
        <v>#DIV/0!</v>
      </c>
      <c r="AN427" s="393" t="e">
        <f t="shared" si="169"/>
        <v>#DIV/0!</v>
      </c>
      <c r="AO427" s="393" t="e">
        <f t="shared" si="170"/>
        <v>#DIV/0!</v>
      </c>
      <c r="AP427" s="393" t="e">
        <f t="shared" si="171"/>
        <v>#DIV/0!</v>
      </c>
      <c r="AQ427" s="393" t="e">
        <f t="shared" si="172"/>
        <v>#DIV/0!</v>
      </c>
      <c r="AR427" s="393" t="e">
        <f t="shared" si="173"/>
        <v>#DIV/0!</v>
      </c>
      <c r="AS427" s="393">
        <f t="shared" si="174"/>
        <v>7.6210000000000004</v>
      </c>
      <c r="AT427" s="393">
        <f t="shared" si="175"/>
        <v>-100</v>
      </c>
      <c r="AU427" s="393" t="e">
        <f t="shared" si="176"/>
        <v>#DIV/0!</v>
      </c>
      <c r="AV427" s="393" t="e">
        <f t="shared" si="177"/>
        <v>#DIV/0!</v>
      </c>
      <c r="AW427" s="393" t="e">
        <f t="shared" si="178"/>
        <v>#DIV/0!</v>
      </c>
      <c r="AX427" s="393" t="e">
        <f t="shared" si="179"/>
        <v>#DIV/0!</v>
      </c>
      <c r="AY427" s="393" t="e">
        <f t="shared" si="180"/>
        <v>#DIV/0!</v>
      </c>
      <c r="AZ427" s="393" t="e">
        <f t="shared" si="181"/>
        <v>#DIV/0!</v>
      </c>
      <c r="BA427" s="393" t="e">
        <f t="shared" si="182"/>
        <v>#DIV/0!</v>
      </c>
      <c r="BB427" s="393" t="e">
        <f t="shared" si="183"/>
        <v>#DIV/0!</v>
      </c>
    </row>
    <row r="428" spans="1:54" x14ac:dyDescent="0.25">
      <c r="A428" s="360" t="s">
        <v>1967</v>
      </c>
      <c r="B428" s="480"/>
      <c r="C428" s="480"/>
      <c r="D428" s="480"/>
      <c r="E428" s="480">
        <f>1217/1800</f>
        <v>0.67610000000000003</v>
      </c>
      <c r="F428" s="480">
        <f>787/1200</f>
        <v>0.65580000000000005</v>
      </c>
      <c r="G428" s="480"/>
      <c r="H428" s="480"/>
      <c r="I428" s="480"/>
      <c r="J428" s="480"/>
      <c r="K428" s="480"/>
      <c r="L428" s="480"/>
      <c r="M428" s="480"/>
      <c r="N428" s="480"/>
      <c r="O428" s="480"/>
      <c r="P428" s="480"/>
      <c r="Q428" s="480"/>
      <c r="R428" s="480"/>
      <c r="S428" s="480"/>
      <c r="T428" s="480"/>
      <c r="U428" s="480"/>
      <c r="V428" s="480"/>
      <c r="W428" s="480"/>
      <c r="X428" s="480"/>
      <c r="Y428" s="480"/>
      <c r="Z428" s="480"/>
      <c r="AA428" s="480"/>
      <c r="AB428" s="480"/>
      <c r="AC428" s="393" t="e">
        <f t="shared" si="158"/>
        <v>#DIV/0!</v>
      </c>
      <c r="AD428" s="393" t="e">
        <f t="shared" si="159"/>
        <v>#DIV/0!</v>
      </c>
      <c r="AE428" s="393" t="e">
        <f t="shared" si="160"/>
        <v>#DIV/0!</v>
      </c>
      <c r="AF428" s="393">
        <f t="shared" si="161"/>
        <v>-3.0030000000000001</v>
      </c>
      <c r="AG428" s="393">
        <f t="shared" si="162"/>
        <v>-100</v>
      </c>
      <c r="AH428" s="393" t="e">
        <f t="shared" si="163"/>
        <v>#DIV/0!</v>
      </c>
      <c r="AI428" s="393" t="e">
        <f t="shared" si="164"/>
        <v>#DIV/0!</v>
      </c>
      <c r="AJ428" s="393" t="e">
        <f t="shared" si="165"/>
        <v>#DIV/0!</v>
      </c>
      <c r="AK428" s="393" t="e">
        <f t="shared" si="166"/>
        <v>#DIV/0!</v>
      </c>
      <c r="AL428" s="393" t="e">
        <f t="shared" si="167"/>
        <v>#DIV/0!</v>
      </c>
      <c r="AM428" s="393" t="e">
        <f t="shared" si="168"/>
        <v>#DIV/0!</v>
      </c>
      <c r="AN428" s="393" t="e">
        <f t="shared" si="169"/>
        <v>#DIV/0!</v>
      </c>
      <c r="AO428" s="393" t="e">
        <f t="shared" si="170"/>
        <v>#DIV/0!</v>
      </c>
      <c r="AP428" s="393" t="e">
        <f t="shared" si="171"/>
        <v>#DIV/0!</v>
      </c>
      <c r="AQ428" s="393" t="e">
        <f t="shared" si="172"/>
        <v>#DIV/0!</v>
      </c>
      <c r="AR428" s="393" t="e">
        <f t="shared" si="173"/>
        <v>#DIV/0!</v>
      </c>
      <c r="AS428" s="393" t="e">
        <f t="shared" si="174"/>
        <v>#DIV/0!</v>
      </c>
      <c r="AT428" s="393" t="e">
        <f t="shared" si="175"/>
        <v>#DIV/0!</v>
      </c>
      <c r="AU428" s="393" t="e">
        <f t="shared" si="176"/>
        <v>#DIV/0!</v>
      </c>
      <c r="AV428" s="393" t="e">
        <f t="shared" si="177"/>
        <v>#DIV/0!</v>
      </c>
      <c r="AW428" s="393" t="e">
        <f t="shared" si="178"/>
        <v>#DIV/0!</v>
      </c>
      <c r="AX428" s="393" t="e">
        <f t="shared" si="179"/>
        <v>#DIV/0!</v>
      </c>
      <c r="AY428" s="393" t="e">
        <f t="shared" si="180"/>
        <v>#DIV/0!</v>
      </c>
      <c r="AZ428" s="393" t="e">
        <f t="shared" si="181"/>
        <v>#DIV/0!</v>
      </c>
      <c r="BA428" s="393" t="e">
        <f t="shared" si="182"/>
        <v>#DIV/0!</v>
      </c>
      <c r="BB428" s="393" t="e">
        <f t="shared" si="183"/>
        <v>#DIV/0!</v>
      </c>
    </row>
    <row r="429" spans="1:54" x14ac:dyDescent="0.25">
      <c r="A429" s="565" t="s">
        <v>3114</v>
      </c>
      <c r="B429" s="480"/>
      <c r="C429" s="480">
        <f>892/1800</f>
        <v>0.49559999999999998</v>
      </c>
      <c r="D429" s="480">
        <f>901/1800</f>
        <v>0.50060000000000004</v>
      </c>
      <c r="E429" s="480"/>
      <c r="F429" s="480"/>
      <c r="G429" s="480"/>
      <c r="H429" s="480"/>
      <c r="I429" s="480"/>
      <c r="J429" s="480"/>
      <c r="K429" s="480"/>
      <c r="L429" s="480"/>
      <c r="M429" s="480"/>
      <c r="N429" s="480"/>
      <c r="O429" s="480"/>
      <c r="P429" s="480"/>
      <c r="Q429" s="480"/>
      <c r="R429" s="480"/>
      <c r="S429" s="480"/>
      <c r="T429" s="480"/>
      <c r="U429" s="480"/>
      <c r="V429" s="480"/>
      <c r="W429" s="480"/>
      <c r="X429" s="480"/>
      <c r="Y429" s="480"/>
      <c r="Z429" s="480"/>
      <c r="AA429" s="480"/>
      <c r="AB429" s="480"/>
      <c r="AC429" s="393" t="e">
        <f t="shared" si="158"/>
        <v>#DIV/0!</v>
      </c>
      <c r="AD429" s="393">
        <f t="shared" si="159"/>
        <v>1.0089999999999999</v>
      </c>
      <c r="AE429" s="393">
        <f t="shared" si="160"/>
        <v>-100</v>
      </c>
      <c r="AF429" s="393" t="e">
        <f t="shared" si="161"/>
        <v>#DIV/0!</v>
      </c>
      <c r="AG429" s="393" t="e">
        <f t="shared" si="162"/>
        <v>#DIV/0!</v>
      </c>
      <c r="AH429" s="393" t="e">
        <f t="shared" si="163"/>
        <v>#DIV/0!</v>
      </c>
      <c r="AI429" s="393" t="e">
        <f t="shared" si="164"/>
        <v>#DIV/0!</v>
      </c>
      <c r="AJ429" s="393" t="e">
        <f t="shared" si="165"/>
        <v>#DIV/0!</v>
      </c>
      <c r="AK429" s="393" t="e">
        <f t="shared" si="166"/>
        <v>#DIV/0!</v>
      </c>
      <c r="AL429" s="393" t="e">
        <f t="shared" si="167"/>
        <v>#DIV/0!</v>
      </c>
      <c r="AM429" s="393" t="e">
        <f t="shared" si="168"/>
        <v>#DIV/0!</v>
      </c>
      <c r="AN429" s="393" t="e">
        <f t="shared" si="169"/>
        <v>#DIV/0!</v>
      </c>
      <c r="AO429" s="393" t="e">
        <f t="shared" si="170"/>
        <v>#DIV/0!</v>
      </c>
      <c r="AP429" s="393" t="e">
        <f t="shared" si="171"/>
        <v>#DIV/0!</v>
      </c>
      <c r="AQ429" s="393" t="e">
        <f t="shared" si="172"/>
        <v>#DIV/0!</v>
      </c>
      <c r="AR429" s="393" t="e">
        <f t="shared" si="173"/>
        <v>#DIV/0!</v>
      </c>
      <c r="AS429" s="393" t="e">
        <f t="shared" si="174"/>
        <v>#DIV/0!</v>
      </c>
      <c r="AT429" s="393" t="e">
        <f t="shared" si="175"/>
        <v>#DIV/0!</v>
      </c>
      <c r="AU429" s="393" t="e">
        <f t="shared" si="176"/>
        <v>#DIV/0!</v>
      </c>
      <c r="AV429" s="393" t="e">
        <f t="shared" si="177"/>
        <v>#DIV/0!</v>
      </c>
      <c r="AW429" s="393" t="e">
        <f t="shared" si="178"/>
        <v>#DIV/0!</v>
      </c>
      <c r="AX429" s="393" t="e">
        <f t="shared" si="179"/>
        <v>#DIV/0!</v>
      </c>
      <c r="AY429" s="393" t="e">
        <f t="shared" si="180"/>
        <v>#DIV/0!</v>
      </c>
      <c r="AZ429" s="393" t="e">
        <f t="shared" si="181"/>
        <v>#DIV/0!</v>
      </c>
      <c r="BA429" s="393" t="e">
        <f t="shared" si="182"/>
        <v>#DIV/0!</v>
      </c>
      <c r="BB429" s="393" t="e">
        <f t="shared" si="183"/>
        <v>#DIV/0!</v>
      </c>
    </row>
    <row r="430" spans="1:54" x14ac:dyDescent="0.25">
      <c r="A430" s="361" t="s">
        <v>1562</v>
      </c>
      <c r="B430" s="480"/>
      <c r="C430" s="480"/>
      <c r="D430" s="480"/>
      <c r="E430" s="480"/>
      <c r="F430" s="480"/>
      <c r="G430" s="480"/>
      <c r="H430" s="480"/>
      <c r="I430" s="480"/>
      <c r="J430" s="480"/>
      <c r="K430" s="480"/>
      <c r="L430" s="480"/>
      <c r="M430" s="480"/>
      <c r="N430" s="480"/>
      <c r="O430" s="480">
        <f>541/1200</f>
        <v>0.45079999999999998</v>
      </c>
      <c r="P430" s="480"/>
      <c r="Q430" s="480"/>
      <c r="R430" s="480"/>
      <c r="S430" s="480"/>
      <c r="T430" s="480"/>
      <c r="U430" s="480"/>
      <c r="V430" s="480"/>
      <c r="W430" s="480"/>
      <c r="X430" s="480"/>
      <c r="Y430" s="480"/>
      <c r="Z430" s="480"/>
      <c r="AA430" s="480"/>
      <c r="AB430" s="480"/>
      <c r="AC430" s="393" t="e">
        <f t="shared" si="158"/>
        <v>#DIV/0!</v>
      </c>
      <c r="AD430" s="393" t="e">
        <f t="shared" si="159"/>
        <v>#DIV/0!</v>
      </c>
      <c r="AE430" s="393" t="e">
        <f t="shared" si="160"/>
        <v>#DIV/0!</v>
      </c>
      <c r="AF430" s="393" t="e">
        <f t="shared" si="161"/>
        <v>#DIV/0!</v>
      </c>
      <c r="AG430" s="393" t="e">
        <f t="shared" si="162"/>
        <v>#DIV/0!</v>
      </c>
      <c r="AH430" s="393" t="e">
        <f t="shared" si="163"/>
        <v>#DIV/0!</v>
      </c>
      <c r="AI430" s="393" t="e">
        <f t="shared" si="164"/>
        <v>#DIV/0!</v>
      </c>
      <c r="AJ430" s="393" t="e">
        <f t="shared" si="165"/>
        <v>#DIV/0!</v>
      </c>
      <c r="AK430" s="393" t="e">
        <f t="shared" si="166"/>
        <v>#DIV/0!</v>
      </c>
      <c r="AL430" s="393" t="e">
        <f t="shared" si="167"/>
        <v>#DIV/0!</v>
      </c>
      <c r="AM430" s="393" t="e">
        <f t="shared" si="168"/>
        <v>#DIV/0!</v>
      </c>
      <c r="AN430" s="393" t="e">
        <f t="shared" si="169"/>
        <v>#DIV/0!</v>
      </c>
      <c r="AO430" s="393" t="e">
        <f t="shared" si="170"/>
        <v>#DIV/0!</v>
      </c>
      <c r="AP430" s="393">
        <f t="shared" si="171"/>
        <v>-100</v>
      </c>
      <c r="AQ430" s="393" t="e">
        <f t="shared" si="172"/>
        <v>#DIV/0!</v>
      </c>
      <c r="AR430" s="393" t="e">
        <f t="shared" si="173"/>
        <v>#DIV/0!</v>
      </c>
      <c r="AS430" s="393" t="e">
        <f t="shared" si="174"/>
        <v>#DIV/0!</v>
      </c>
      <c r="AT430" s="393" t="e">
        <f t="shared" si="175"/>
        <v>#DIV/0!</v>
      </c>
      <c r="AU430" s="393" t="e">
        <f t="shared" si="176"/>
        <v>#DIV/0!</v>
      </c>
      <c r="AV430" s="393" t="e">
        <f t="shared" si="177"/>
        <v>#DIV/0!</v>
      </c>
      <c r="AW430" s="393" t="e">
        <f t="shared" si="178"/>
        <v>#DIV/0!</v>
      </c>
      <c r="AX430" s="393" t="e">
        <f t="shared" si="179"/>
        <v>#DIV/0!</v>
      </c>
      <c r="AY430" s="393" t="e">
        <f t="shared" si="180"/>
        <v>#DIV/0!</v>
      </c>
      <c r="AZ430" s="393" t="e">
        <f t="shared" si="181"/>
        <v>#DIV/0!</v>
      </c>
      <c r="BA430" s="393" t="e">
        <f t="shared" si="182"/>
        <v>#DIV/0!</v>
      </c>
      <c r="BB430" s="393" t="e">
        <f t="shared" si="183"/>
        <v>#DIV/0!</v>
      </c>
    </row>
    <row r="431" spans="1:54" x14ac:dyDescent="0.25">
      <c r="A431" s="360" t="s">
        <v>1646</v>
      </c>
      <c r="B431" s="480"/>
      <c r="C431" s="480"/>
      <c r="D431" s="480"/>
      <c r="E431" s="480"/>
      <c r="F431" s="480">
        <f>750/1200</f>
        <v>0.625</v>
      </c>
      <c r="G431" s="480">
        <f>1679/2400</f>
        <v>0.6996</v>
      </c>
      <c r="H431" s="480">
        <f>767/1200</f>
        <v>0.63919999999999999</v>
      </c>
      <c r="I431" s="480"/>
      <c r="J431" s="480"/>
      <c r="K431" s="480"/>
      <c r="L431" s="480"/>
      <c r="M431" s="480"/>
      <c r="N431" s="480"/>
      <c r="O431" s="480"/>
      <c r="P431" s="480"/>
      <c r="Q431" s="480"/>
      <c r="R431" s="480"/>
      <c r="S431" s="480"/>
      <c r="T431" s="480"/>
      <c r="U431" s="480"/>
      <c r="V431" s="480"/>
      <c r="W431" s="480"/>
      <c r="X431" s="480"/>
      <c r="Y431" s="480"/>
      <c r="Z431" s="480"/>
      <c r="AA431" s="480"/>
      <c r="AB431" s="480"/>
      <c r="AC431" s="393" t="e">
        <f t="shared" si="158"/>
        <v>#DIV/0!</v>
      </c>
      <c r="AD431" s="393" t="e">
        <f t="shared" si="159"/>
        <v>#DIV/0!</v>
      </c>
      <c r="AE431" s="393" t="e">
        <f t="shared" si="160"/>
        <v>#DIV/0!</v>
      </c>
      <c r="AF431" s="393" t="e">
        <f t="shared" si="161"/>
        <v>#DIV/0!</v>
      </c>
      <c r="AG431" s="393">
        <f t="shared" si="162"/>
        <v>11.936</v>
      </c>
      <c r="AH431" s="393">
        <f t="shared" si="163"/>
        <v>-8.6340000000000003</v>
      </c>
      <c r="AI431" s="393">
        <f t="shared" si="164"/>
        <v>-100</v>
      </c>
      <c r="AJ431" s="393" t="e">
        <f t="shared" si="165"/>
        <v>#DIV/0!</v>
      </c>
      <c r="AK431" s="393" t="e">
        <f t="shared" si="166"/>
        <v>#DIV/0!</v>
      </c>
      <c r="AL431" s="393" t="e">
        <f t="shared" si="167"/>
        <v>#DIV/0!</v>
      </c>
      <c r="AM431" s="393" t="e">
        <f t="shared" si="168"/>
        <v>#DIV/0!</v>
      </c>
      <c r="AN431" s="393" t="e">
        <f t="shared" si="169"/>
        <v>#DIV/0!</v>
      </c>
      <c r="AO431" s="393" t="e">
        <f t="shared" si="170"/>
        <v>#DIV/0!</v>
      </c>
      <c r="AP431" s="393" t="e">
        <f t="shared" si="171"/>
        <v>#DIV/0!</v>
      </c>
      <c r="AQ431" s="393" t="e">
        <f t="shared" si="172"/>
        <v>#DIV/0!</v>
      </c>
      <c r="AR431" s="393" t="e">
        <f t="shared" si="173"/>
        <v>#DIV/0!</v>
      </c>
      <c r="AS431" s="393" t="e">
        <f t="shared" si="174"/>
        <v>#DIV/0!</v>
      </c>
      <c r="AT431" s="393" t="e">
        <f t="shared" si="175"/>
        <v>#DIV/0!</v>
      </c>
      <c r="AU431" s="393" t="e">
        <f t="shared" si="176"/>
        <v>#DIV/0!</v>
      </c>
      <c r="AV431" s="393" t="e">
        <f t="shared" si="177"/>
        <v>#DIV/0!</v>
      </c>
      <c r="AW431" s="393" t="e">
        <f t="shared" si="178"/>
        <v>#DIV/0!</v>
      </c>
      <c r="AX431" s="393" t="e">
        <f t="shared" si="179"/>
        <v>#DIV/0!</v>
      </c>
      <c r="AY431" s="393" t="e">
        <f t="shared" si="180"/>
        <v>#DIV/0!</v>
      </c>
      <c r="AZ431" s="393" t="e">
        <f t="shared" si="181"/>
        <v>#DIV/0!</v>
      </c>
      <c r="BA431" s="393" t="e">
        <f t="shared" si="182"/>
        <v>#DIV/0!</v>
      </c>
      <c r="BB431" s="393" t="e">
        <f t="shared" si="183"/>
        <v>#DIV/0!</v>
      </c>
    </row>
    <row r="432" spans="1:54" x14ac:dyDescent="0.25">
      <c r="A432" s="361" t="s">
        <v>1590</v>
      </c>
      <c r="B432" s="480"/>
      <c r="C432" s="480"/>
      <c r="D432" s="480"/>
      <c r="E432" s="480"/>
      <c r="F432" s="480"/>
      <c r="G432" s="480"/>
      <c r="H432" s="480"/>
      <c r="I432" s="480"/>
      <c r="J432" s="480"/>
      <c r="K432" s="480"/>
      <c r="L432" s="480"/>
      <c r="M432" s="480"/>
      <c r="N432" s="480"/>
      <c r="O432" s="480"/>
      <c r="P432" s="480"/>
      <c r="Q432" s="480"/>
      <c r="R432" s="480">
        <f>1042/1800</f>
        <v>0.57889999999999997</v>
      </c>
      <c r="S432" s="480">
        <f>1029/1800</f>
        <v>0.57169999999999999</v>
      </c>
      <c r="T432" s="480"/>
      <c r="U432" s="480">
        <f>1089/1800</f>
        <v>0.60499999999999998</v>
      </c>
      <c r="V432" s="480"/>
      <c r="W432" s="480"/>
      <c r="X432" s="480"/>
      <c r="Y432" s="480"/>
      <c r="Z432" s="480"/>
      <c r="AA432" s="480"/>
      <c r="AB432" s="480"/>
      <c r="AC432" s="393" t="e">
        <f t="shared" si="158"/>
        <v>#DIV/0!</v>
      </c>
      <c r="AD432" s="393" t="e">
        <f t="shared" si="159"/>
        <v>#DIV/0!</v>
      </c>
      <c r="AE432" s="393" t="e">
        <f t="shared" si="160"/>
        <v>#DIV/0!</v>
      </c>
      <c r="AF432" s="393" t="e">
        <f t="shared" si="161"/>
        <v>#DIV/0!</v>
      </c>
      <c r="AG432" s="393" t="e">
        <f t="shared" si="162"/>
        <v>#DIV/0!</v>
      </c>
      <c r="AH432" s="393" t="e">
        <f t="shared" si="163"/>
        <v>#DIV/0!</v>
      </c>
      <c r="AI432" s="393" t="e">
        <f t="shared" si="164"/>
        <v>#DIV/0!</v>
      </c>
      <c r="AJ432" s="393" t="e">
        <f t="shared" si="165"/>
        <v>#DIV/0!</v>
      </c>
      <c r="AK432" s="393" t="e">
        <f t="shared" si="166"/>
        <v>#DIV/0!</v>
      </c>
      <c r="AL432" s="393" t="e">
        <f t="shared" si="167"/>
        <v>#DIV/0!</v>
      </c>
      <c r="AM432" s="393" t="e">
        <f t="shared" si="168"/>
        <v>#DIV/0!</v>
      </c>
      <c r="AN432" s="393" t="e">
        <f t="shared" si="169"/>
        <v>#DIV/0!</v>
      </c>
      <c r="AO432" s="393" t="e">
        <f t="shared" si="170"/>
        <v>#DIV/0!</v>
      </c>
      <c r="AP432" s="393" t="e">
        <f t="shared" si="171"/>
        <v>#DIV/0!</v>
      </c>
      <c r="AQ432" s="393" t="e">
        <f t="shared" si="172"/>
        <v>#DIV/0!</v>
      </c>
      <c r="AR432" s="393" t="e">
        <f t="shared" si="173"/>
        <v>#DIV/0!</v>
      </c>
      <c r="AS432" s="393">
        <f t="shared" si="174"/>
        <v>-1.244</v>
      </c>
      <c r="AT432" s="393">
        <f t="shared" si="175"/>
        <v>-100</v>
      </c>
      <c r="AU432" s="393" t="e">
        <f t="shared" si="176"/>
        <v>#DIV/0!</v>
      </c>
      <c r="AV432" s="393">
        <f t="shared" si="177"/>
        <v>-100</v>
      </c>
      <c r="AW432" s="393" t="e">
        <f t="shared" si="178"/>
        <v>#DIV/0!</v>
      </c>
      <c r="AX432" s="393" t="e">
        <f t="shared" si="179"/>
        <v>#DIV/0!</v>
      </c>
      <c r="AY432" s="393" t="e">
        <f t="shared" si="180"/>
        <v>#DIV/0!</v>
      </c>
      <c r="AZ432" s="393" t="e">
        <f t="shared" si="181"/>
        <v>#DIV/0!</v>
      </c>
      <c r="BA432" s="393" t="e">
        <f t="shared" si="182"/>
        <v>#DIV/0!</v>
      </c>
      <c r="BB432" s="393" t="e">
        <f t="shared" si="183"/>
        <v>#DIV/0!</v>
      </c>
    </row>
    <row r="433" spans="1:54" x14ac:dyDescent="0.25">
      <c r="A433" s="360" t="s">
        <v>1325</v>
      </c>
      <c r="B433" s="480"/>
      <c r="C433" s="480"/>
      <c r="D433" s="480"/>
      <c r="E433" s="480">
        <f>842/1800</f>
        <v>0.46779999999999999</v>
      </c>
      <c r="F433" s="480"/>
      <c r="G433" s="480">
        <f>1100/2400</f>
        <v>0.45829999999999999</v>
      </c>
      <c r="H433" s="480"/>
      <c r="I433" s="480"/>
      <c r="J433" s="480"/>
      <c r="K433" s="480"/>
      <c r="L433" s="480"/>
      <c r="M433" s="480"/>
      <c r="N433" s="480"/>
      <c r="O433" s="480"/>
      <c r="P433" s="480"/>
      <c r="Q433" s="480"/>
      <c r="R433" s="480"/>
      <c r="S433" s="480"/>
      <c r="T433" s="480"/>
      <c r="U433" s="480"/>
      <c r="V433" s="480"/>
      <c r="W433" s="480"/>
      <c r="X433" s="480"/>
      <c r="Y433" s="480"/>
      <c r="Z433" s="480"/>
      <c r="AA433" s="480"/>
      <c r="AB433" s="480"/>
      <c r="AC433" s="393" t="e">
        <f t="shared" si="158"/>
        <v>#DIV/0!</v>
      </c>
      <c r="AD433" s="393" t="e">
        <f t="shared" si="159"/>
        <v>#DIV/0!</v>
      </c>
      <c r="AE433" s="393" t="e">
        <f t="shared" si="160"/>
        <v>#DIV/0!</v>
      </c>
      <c r="AF433" s="393">
        <f t="shared" si="161"/>
        <v>-100</v>
      </c>
      <c r="AG433" s="393" t="e">
        <f t="shared" si="162"/>
        <v>#DIV/0!</v>
      </c>
      <c r="AH433" s="393">
        <f t="shared" si="163"/>
        <v>-100</v>
      </c>
      <c r="AI433" s="393" t="e">
        <f t="shared" si="164"/>
        <v>#DIV/0!</v>
      </c>
      <c r="AJ433" s="393" t="e">
        <f t="shared" si="165"/>
        <v>#DIV/0!</v>
      </c>
      <c r="AK433" s="393" t="e">
        <f t="shared" si="166"/>
        <v>#DIV/0!</v>
      </c>
      <c r="AL433" s="393" t="e">
        <f t="shared" si="167"/>
        <v>#DIV/0!</v>
      </c>
      <c r="AM433" s="393" t="e">
        <f t="shared" si="168"/>
        <v>#DIV/0!</v>
      </c>
      <c r="AN433" s="393" t="e">
        <f t="shared" si="169"/>
        <v>#DIV/0!</v>
      </c>
      <c r="AO433" s="393" t="e">
        <f t="shared" si="170"/>
        <v>#DIV/0!</v>
      </c>
      <c r="AP433" s="393" t="e">
        <f t="shared" si="171"/>
        <v>#DIV/0!</v>
      </c>
      <c r="AQ433" s="393" t="e">
        <f t="shared" si="172"/>
        <v>#DIV/0!</v>
      </c>
      <c r="AR433" s="393" t="e">
        <f t="shared" si="173"/>
        <v>#DIV/0!</v>
      </c>
      <c r="AS433" s="393" t="e">
        <f t="shared" si="174"/>
        <v>#DIV/0!</v>
      </c>
      <c r="AT433" s="393" t="e">
        <f t="shared" si="175"/>
        <v>#DIV/0!</v>
      </c>
      <c r="AU433" s="393" t="e">
        <f t="shared" si="176"/>
        <v>#DIV/0!</v>
      </c>
      <c r="AV433" s="393" t="e">
        <f t="shared" si="177"/>
        <v>#DIV/0!</v>
      </c>
      <c r="AW433" s="393" t="e">
        <f t="shared" si="178"/>
        <v>#DIV/0!</v>
      </c>
      <c r="AX433" s="393" t="e">
        <f t="shared" si="179"/>
        <v>#DIV/0!</v>
      </c>
      <c r="AY433" s="393" t="e">
        <f t="shared" si="180"/>
        <v>#DIV/0!</v>
      </c>
      <c r="AZ433" s="393" t="e">
        <f t="shared" si="181"/>
        <v>#DIV/0!</v>
      </c>
      <c r="BA433" s="393" t="e">
        <f t="shared" si="182"/>
        <v>#DIV/0!</v>
      </c>
      <c r="BB433" s="393" t="e">
        <f t="shared" si="183"/>
        <v>#DIV/0!</v>
      </c>
    </row>
    <row r="434" spans="1:54" x14ac:dyDescent="0.25">
      <c r="A434" s="361" t="s">
        <v>1203</v>
      </c>
      <c r="B434" s="480"/>
      <c r="C434" s="480"/>
      <c r="D434" s="480"/>
      <c r="E434" s="480"/>
      <c r="F434" s="480"/>
      <c r="G434" s="480"/>
      <c r="H434" s="480"/>
      <c r="I434" s="480"/>
      <c r="J434" s="480"/>
      <c r="K434" s="480"/>
      <c r="L434" s="480"/>
      <c r="M434" s="480"/>
      <c r="N434" s="480"/>
      <c r="O434" s="480"/>
      <c r="P434" s="480"/>
      <c r="Q434" s="480"/>
      <c r="R434" s="480"/>
      <c r="S434" s="480"/>
      <c r="T434" s="480"/>
      <c r="U434" s="480">
        <f>962/1800</f>
        <v>0.53439999999999999</v>
      </c>
      <c r="V434" s="480"/>
      <c r="W434" s="480"/>
      <c r="X434" s="480"/>
      <c r="Y434" s="480"/>
      <c r="Z434" s="480"/>
      <c r="AA434" s="480"/>
      <c r="AB434" s="480"/>
      <c r="AC434" s="393" t="e">
        <f t="shared" si="158"/>
        <v>#DIV/0!</v>
      </c>
      <c r="AD434" s="393" t="e">
        <f t="shared" si="159"/>
        <v>#DIV/0!</v>
      </c>
      <c r="AE434" s="393" t="e">
        <f t="shared" si="160"/>
        <v>#DIV/0!</v>
      </c>
      <c r="AF434" s="393" t="e">
        <f t="shared" si="161"/>
        <v>#DIV/0!</v>
      </c>
      <c r="AG434" s="393" t="e">
        <f t="shared" si="162"/>
        <v>#DIV/0!</v>
      </c>
      <c r="AH434" s="393" t="e">
        <f t="shared" si="163"/>
        <v>#DIV/0!</v>
      </c>
      <c r="AI434" s="393" t="e">
        <f t="shared" si="164"/>
        <v>#DIV/0!</v>
      </c>
      <c r="AJ434" s="393" t="e">
        <f t="shared" si="165"/>
        <v>#DIV/0!</v>
      </c>
      <c r="AK434" s="393" t="e">
        <f t="shared" si="166"/>
        <v>#DIV/0!</v>
      </c>
      <c r="AL434" s="393" t="e">
        <f t="shared" si="167"/>
        <v>#DIV/0!</v>
      </c>
      <c r="AM434" s="393" t="e">
        <f t="shared" si="168"/>
        <v>#DIV/0!</v>
      </c>
      <c r="AN434" s="393" t="e">
        <f t="shared" si="169"/>
        <v>#DIV/0!</v>
      </c>
      <c r="AO434" s="393" t="e">
        <f t="shared" si="170"/>
        <v>#DIV/0!</v>
      </c>
      <c r="AP434" s="393" t="e">
        <f t="shared" si="171"/>
        <v>#DIV/0!</v>
      </c>
      <c r="AQ434" s="393" t="e">
        <f t="shared" si="172"/>
        <v>#DIV/0!</v>
      </c>
      <c r="AR434" s="393" t="e">
        <f t="shared" si="173"/>
        <v>#DIV/0!</v>
      </c>
      <c r="AS434" s="393" t="e">
        <f t="shared" si="174"/>
        <v>#DIV/0!</v>
      </c>
      <c r="AT434" s="393" t="e">
        <f t="shared" si="175"/>
        <v>#DIV/0!</v>
      </c>
      <c r="AU434" s="393" t="e">
        <f t="shared" si="176"/>
        <v>#DIV/0!</v>
      </c>
      <c r="AV434" s="393">
        <f t="shared" si="177"/>
        <v>-100</v>
      </c>
      <c r="AW434" s="393" t="e">
        <f t="shared" si="178"/>
        <v>#DIV/0!</v>
      </c>
      <c r="AX434" s="393" t="e">
        <f t="shared" si="179"/>
        <v>#DIV/0!</v>
      </c>
      <c r="AY434" s="393" t="e">
        <f t="shared" si="180"/>
        <v>#DIV/0!</v>
      </c>
      <c r="AZ434" s="393" t="e">
        <f t="shared" si="181"/>
        <v>#DIV/0!</v>
      </c>
      <c r="BA434" s="393" t="e">
        <f t="shared" si="182"/>
        <v>#DIV/0!</v>
      </c>
      <c r="BB434" s="393" t="e">
        <f t="shared" si="183"/>
        <v>#DIV/0!</v>
      </c>
    </row>
    <row r="435" spans="1:54" x14ac:dyDescent="0.25">
      <c r="A435" s="361" t="s">
        <v>1188</v>
      </c>
      <c r="B435" s="480"/>
      <c r="C435" s="480"/>
      <c r="D435" s="480"/>
      <c r="E435" s="480"/>
      <c r="F435" s="480"/>
      <c r="G435" s="480"/>
      <c r="H435" s="480"/>
      <c r="I435" s="480"/>
      <c r="J435" s="480"/>
      <c r="K435" s="480"/>
      <c r="L435" s="480"/>
      <c r="M435" s="480"/>
      <c r="N435" s="480"/>
      <c r="O435" s="480"/>
      <c r="P435" s="480"/>
      <c r="Q435" s="480"/>
      <c r="R435" s="480"/>
      <c r="S435" s="480"/>
      <c r="T435" s="480"/>
      <c r="U435" s="480"/>
      <c r="V435" s="481"/>
      <c r="W435" s="481">
        <f>765/1200</f>
        <v>0.63749999999999996</v>
      </c>
      <c r="X435" s="481">
        <f>1154/1800</f>
        <v>0.6411</v>
      </c>
      <c r="Y435" s="481"/>
      <c r="Z435" s="481"/>
      <c r="AA435" s="481"/>
      <c r="AB435" s="481"/>
      <c r="AC435" s="393" t="e">
        <f t="shared" si="158"/>
        <v>#DIV/0!</v>
      </c>
      <c r="AD435" s="393" t="e">
        <f t="shared" si="159"/>
        <v>#DIV/0!</v>
      </c>
      <c r="AE435" s="393" t="e">
        <f t="shared" si="160"/>
        <v>#DIV/0!</v>
      </c>
      <c r="AF435" s="393" t="e">
        <f t="shared" si="161"/>
        <v>#DIV/0!</v>
      </c>
      <c r="AG435" s="393" t="e">
        <f t="shared" si="162"/>
        <v>#DIV/0!</v>
      </c>
      <c r="AH435" s="393" t="e">
        <f t="shared" si="163"/>
        <v>#DIV/0!</v>
      </c>
      <c r="AI435" s="393" t="e">
        <f t="shared" si="164"/>
        <v>#DIV/0!</v>
      </c>
      <c r="AJ435" s="393" t="e">
        <f t="shared" si="165"/>
        <v>#DIV/0!</v>
      </c>
      <c r="AK435" s="393" t="e">
        <f t="shared" si="166"/>
        <v>#DIV/0!</v>
      </c>
      <c r="AL435" s="393" t="e">
        <f t="shared" si="167"/>
        <v>#DIV/0!</v>
      </c>
      <c r="AM435" s="393" t="e">
        <f t="shared" si="168"/>
        <v>#DIV/0!</v>
      </c>
      <c r="AN435" s="393" t="e">
        <f t="shared" si="169"/>
        <v>#DIV/0!</v>
      </c>
      <c r="AO435" s="393" t="e">
        <f t="shared" si="170"/>
        <v>#DIV/0!</v>
      </c>
      <c r="AP435" s="393" t="e">
        <f t="shared" si="171"/>
        <v>#DIV/0!</v>
      </c>
      <c r="AQ435" s="393" t="e">
        <f t="shared" si="172"/>
        <v>#DIV/0!</v>
      </c>
      <c r="AR435" s="393" t="e">
        <f t="shared" si="173"/>
        <v>#DIV/0!</v>
      </c>
      <c r="AS435" s="393" t="e">
        <f t="shared" si="174"/>
        <v>#DIV/0!</v>
      </c>
      <c r="AT435" s="393" t="e">
        <f t="shared" si="175"/>
        <v>#DIV/0!</v>
      </c>
      <c r="AU435" s="393" t="e">
        <f t="shared" si="176"/>
        <v>#DIV/0!</v>
      </c>
      <c r="AV435" s="393" t="e">
        <f t="shared" si="177"/>
        <v>#DIV/0!</v>
      </c>
      <c r="AW435" s="393" t="e">
        <f t="shared" si="178"/>
        <v>#DIV/0!</v>
      </c>
      <c r="AX435" s="393">
        <f t="shared" si="179"/>
        <v>0.56499999999999995</v>
      </c>
      <c r="AY435" s="393">
        <f t="shared" si="180"/>
        <v>-100</v>
      </c>
      <c r="AZ435" s="393" t="e">
        <f t="shared" si="181"/>
        <v>#DIV/0!</v>
      </c>
      <c r="BA435" s="393" t="e">
        <f t="shared" si="182"/>
        <v>#DIV/0!</v>
      </c>
      <c r="BB435" s="393" t="e">
        <f t="shared" si="183"/>
        <v>#DIV/0!</v>
      </c>
    </row>
    <row r="436" spans="1:54" x14ac:dyDescent="0.25">
      <c r="A436" s="360" t="s">
        <v>4861</v>
      </c>
      <c r="B436" s="480"/>
      <c r="C436" s="480"/>
      <c r="D436" s="480"/>
      <c r="E436" s="480"/>
      <c r="F436" s="480"/>
      <c r="G436" s="480"/>
      <c r="H436" s="480"/>
      <c r="I436" s="480"/>
      <c r="J436" s="480"/>
      <c r="K436" s="480"/>
      <c r="L436" s="480"/>
      <c r="M436" s="480"/>
      <c r="N436" s="480"/>
      <c r="O436" s="480"/>
      <c r="P436" s="480"/>
      <c r="Q436" s="480"/>
      <c r="R436" s="480"/>
      <c r="S436" s="480"/>
      <c r="T436" s="480"/>
      <c r="U436" s="480"/>
      <c r="V436" s="480"/>
      <c r="W436" s="480"/>
      <c r="X436" s="480"/>
      <c r="Y436" s="480"/>
      <c r="Z436" s="480"/>
      <c r="AA436" s="480"/>
      <c r="AB436" s="480">
        <v>0.69699999999999995</v>
      </c>
      <c r="AC436" s="393" t="e">
        <f t="shared" si="158"/>
        <v>#DIV/0!</v>
      </c>
      <c r="AD436" s="393" t="e">
        <f t="shared" si="159"/>
        <v>#DIV/0!</v>
      </c>
      <c r="AE436" s="393" t="e">
        <f t="shared" si="160"/>
        <v>#DIV/0!</v>
      </c>
      <c r="AF436" s="393" t="e">
        <f t="shared" si="161"/>
        <v>#DIV/0!</v>
      </c>
      <c r="AG436" s="393" t="e">
        <f t="shared" si="162"/>
        <v>#DIV/0!</v>
      </c>
      <c r="AH436" s="393" t="e">
        <f t="shared" si="163"/>
        <v>#DIV/0!</v>
      </c>
      <c r="AI436" s="393" t="e">
        <f t="shared" si="164"/>
        <v>#DIV/0!</v>
      </c>
      <c r="AJ436" s="393" t="e">
        <f t="shared" si="165"/>
        <v>#DIV/0!</v>
      </c>
      <c r="AK436" s="393" t="e">
        <f t="shared" si="166"/>
        <v>#DIV/0!</v>
      </c>
      <c r="AL436" s="393" t="e">
        <f t="shared" si="167"/>
        <v>#DIV/0!</v>
      </c>
      <c r="AM436" s="393" t="e">
        <f t="shared" si="168"/>
        <v>#DIV/0!</v>
      </c>
      <c r="AN436" s="393" t="e">
        <f t="shared" si="169"/>
        <v>#DIV/0!</v>
      </c>
      <c r="AO436" s="393" t="e">
        <f t="shared" si="170"/>
        <v>#DIV/0!</v>
      </c>
      <c r="AP436" s="393" t="e">
        <f t="shared" si="171"/>
        <v>#DIV/0!</v>
      </c>
      <c r="AQ436" s="393" t="e">
        <f t="shared" si="172"/>
        <v>#DIV/0!</v>
      </c>
      <c r="AR436" s="393" t="e">
        <f t="shared" si="173"/>
        <v>#DIV/0!</v>
      </c>
      <c r="AS436" s="393" t="e">
        <f t="shared" si="174"/>
        <v>#DIV/0!</v>
      </c>
      <c r="AT436" s="393" t="e">
        <f t="shared" si="175"/>
        <v>#DIV/0!</v>
      </c>
      <c r="AU436" s="393" t="e">
        <f t="shared" si="176"/>
        <v>#DIV/0!</v>
      </c>
      <c r="AV436" s="393" t="e">
        <f t="shared" si="177"/>
        <v>#DIV/0!</v>
      </c>
      <c r="AW436" s="393" t="e">
        <f t="shared" si="178"/>
        <v>#DIV/0!</v>
      </c>
      <c r="AX436" s="393" t="e">
        <f t="shared" si="179"/>
        <v>#DIV/0!</v>
      </c>
      <c r="AY436" s="393" t="e">
        <f t="shared" si="180"/>
        <v>#DIV/0!</v>
      </c>
      <c r="AZ436" s="393" t="e">
        <f t="shared" si="181"/>
        <v>#DIV/0!</v>
      </c>
      <c r="BA436" s="393" t="e">
        <f t="shared" si="182"/>
        <v>#DIV/0!</v>
      </c>
      <c r="BB436" s="393" t="e">
        <f t="shared" si="183"/>
        <v>#DIV/0!</v>
      </c>
    </row>
    <row r="437" spans="1:54" x14ac:dyDescent="0.25">
      <c r="A437" s="360"/>
      <c r="B437" s="480"/>
      <c r="C437" s="480"/>
      <c r="D437" s="480"/>
      <c r="E437" s="480"/>
      <c r="F437" s="480"/>
      <c r="G437" s="480"/>
      <c r="H437" s="480"/>
      <c r="I437" s="480"/>
      <c r="J437" s="480"/>
      <c r="K437" s="480"/>
      <c r="L437" s="480"/>
      <c r="M437" s="480"/>
      <c r="N437" s="480"/>
      <c r="O437" s="480"/>
      <c r="P437" s="480"/>
      <c r="Q437" s="480"/>
      <c r="R437" s="480"/>
      <c r="S437" s="480"/>
      <c r="T437" s="480"/>
      <c r="U437" s="480"/>
      <c r="V437" s="480"/>
      <c r="W437" s="480"/>
      <c r="X437" s="480"/>
      <c r="Y437" s="480"/>
      <c r="Z437" s="480"/>
      <c r="AA437" s="480"/>
      <c r="AB437" s="480"/>
      <c r="AC437" s="393" t="e">
        <f t="shared" si="158"/>
        <v>#DIV/0!</v>
      </c>
      <c r="AD437" s="393" t="e">
        <f t="shared" si="159"/>
        <v>#DIV/0!</v>
      </c>
      <c r="AE437" s="393" t="e">
        <f t="shared" si="160"/>
        <v>#DIV/0!</v>
      </c>
      <c r="AF437" s="393" t="e">
        <f t="shared" si="161"/>
        <v>#DIV/0!</v>
      </c>
      <c r="AG437" s="393" t="e">
        <f t="shared" si="162"/>
        <v>#DIV/0!</v>
      </c>
      <c r="AH437" s="393" t="e">
        <f t="shared" si="163"/>
        <v>#DIV/0!</v>
      </c>
      <c r="AI437" s="393" t="e">
        <f t="shared" si="164"/>
        <v>#DIV/0!</v>
      </c>
      <c r="AJ437" s="393" t="e">
        <f t="shared" si="165"/>
        <v>#DIV/0!</v>
      </c>
      <c r="AK437" s="393" t="e">
        <f t="shared" si="166"/>
        <v>#DIV/0!</v>
      </c>
      <c r="AL437" s="393" t="e">
        <f t="shared" si="167"/>
        <v>#DIV/0!</v>
      </c>
      <c r="AM437" s="393" t="e">
        <f t="shared" si="168"/>
        <v>#DIV/0!</v>
      </c>
      <c r="AN437" s="393" t="e">
        <f t="shared" si="169"/>
        <v>#DIV/0!</v>
      </c>
      <c r="AO437" s="393" t="e">
        <f t="shared" si="170"/>
        <v>#DIV/0!</v>
      </c>
      <c r="AP437" s="393" t="e">
        <f t="shared" si="171"/>
        <v>#DIV/0!</v>
      </c>
      <c r="AQ437" s="393" t="e">
        <f t="shared" si="172"/>
        <v>#DIV/0!</v>
      </c>
      <c r="AR437" s="393" t="e">
        <f t="shared" si="173"/>
        <v>#DIV/0!</v>
      </c>
      <c r="AS437" s="393" t="e">
        <f t="shared" si="174"/>
        <v>#DIV/0!</v>
      </c>
      <c r="AT437" s="393" t="e">
        <f t="shared" si="175"/>
        <v>#DIV/0!</v>
      </c>
      <c r="AU437" s="393" t="e">
        <f t="shared" si="176"/>
        <v>#DIV/0!</v>
      </c>
      <c r="AV437" s="393" t="e">
        <f t="shared" si="177"/>
        <v>#DIV/0!</v>
      </c>
      <c r="AW437" s="393" t="e">
        <f t="shared" si="178"/>
        <v>#DIV/0!</v>
      </c>
      <c r="AX437" s="393" t="e">
        <f t="shared" si="179"/>
        <v>#DIV/0!</v>
      </c>
      <c r="AY437" s="393" t="e">
        <f t="shared" si="180"/>
        <v>#DIV/0!</v>
      </c>
      <c r="AZ437" s="393" t="e">
        <f t="shared" si="181"/>
        <v>#DIV/0!</v>
      </c>
      <c r="BA437" s="393" t="e">
        <f t="shared" si="182"/>
        <v>#DIV/0!</v>
      </c>
      <c r="BB437" s="393" t="e">
        <f t="shared" si="183"/>
        <v>#DIV/0!</v>
      </c>
    </row>
    <row r="438" spans="1:54" x14ac:dyDescent="0.25">
      <c r="A438" s="360"/>
      <c r="B438" s="480"/>
      <c r="C438" s="480"/>
      <c r="D438" s="480"/>
      <c r="E438" s="480"/>
      <c r="F438" s="480"/>
      <c r="G438" s="480"/>
      <c r="H438" s="480"/>
      <c r="I438" s="480"/>
      <c r="J438" s="480"/>
      <c r="K438" s="480"/>
      <c r="L438" s="480"/>
      <c r="M438" s="480"/>
      <c r="N438" s="480"/>
      <c r="O438" s="480"/>
      <c r="P438" s="480"/>
      <c r="Q438" s="480"/>
      <c r="R438" s="480"/>
      <c r="S438" s="480"/>
      <c r="T438" s="480"/>
      <c r="U438" s="480"/>
      <c r="V438" s="480"/>
      <c r="W438" s="480"/>
      <c r="X438" s="480"/>
      <c r="Y438" s="480"/>
      <c r="Z438" s="480"/>
      <c r="AA438" s="480"/>
      <c r="AB438" s="480"/>
      <c r="AC438" s="393" t="e">
        <f t="shared" si="158"/>
        <v>#DIV/0!</v>
      </c>
      <c r="AD438" s="393" t="e">
        <f t="shared" si="159"/>
        <v>#DIV/0!</v>
      </c>
      <c r="AE438" s="393" t="e">
        <f t="shared" si="160"/>
        <v>#DIV/0!</v>
      </c>
      <c r="AF438" s="393" t="e">
        <f t="shared" si="161"/>
        <v>#DIV/0!</v>
      </c>
      <c r="AG438" s="393" t="e">
        <f t="shared" si="162"/>
        <v>#DIV/0!</v>
      </c>
      <c r="AH438" s="393" t="e">
        <f t="shared" si="163"/>
        <v>#DIV/0!</v>
      </c>
      <c r="AI438" s="393" t="e">
        <f t="shared" si="164"/>
        <v>#DIV/0!</v>
      </c>
      <c r="AJ438" s="393" t="e">
        <f t="shared" si="165"/>
        <v>#DIV/0!</v>
      </c>
      <c r="AK438" s="393" t="e">
        <f t="shared" si="166"/>
        <v>#DIV/0!</v>
      </c>
      <c r="AL438" s="393" t="e">
        <f t="shared" si="167"/>
        <v>#DIV/0!</v>
      </c>
      <c r="AM438" s="393" t="e">
        <f t="shared" si="168"/>
        <v>#DIV/0!</v>
      </c>
      <c r="AN438" s="393" t="e">
        <f t="shared" si="169"/>
        <v>#DIV/0!</v>
      </c>
      <c r="AO438" s="393" t="e">
        <f t="shared" si="170"/>
        <v>#DIV/0!</v>
      </c>
      <c r="AP438" s="393" t="e">
        <f t="shared" si="171"/>
        <v>#DIV/0!</v>
      </c>
      <c r="AQ438" s="393" t="e">
        <f t="shared" si="172"/>
        <v>#DIV/0!</v>
      </c>
      <c r="AR438" s="393" t="e">
        <f t="shared" si="173"/>
        <v>#DIV/0!</v>
      </c>
      <c r="AS438" s="393" t="e">
        <f t="shared" si="174"/>
        <v>#DIV/0!</v>
      </c>
      <c r="AT438" s="393" t="e">
        <f t="shared" si="175"/>
        <v>#DIV/0!</v>
      </c>
      <c r="AU438" s="393" t="e">
        <f t="shared" si="176"/>
        <v>#DIV/0!</v>
      </c>
      <c r="AV438" s="393" t="e">
        <f t="shared" si="177"/>
        <v>#DIV/0!</v>
      </c>
      <c r="AW438" s="393" t="e">
        <f t="shared" si="178"/>
        <v>#DIV/0!</v>
      </c>
      <c r="AX438" s="393" t="e">
        <f t="shared" si="179"/>
        <v>#DIV/0!</v>
      </c>
      <c r="AY438" s="393" t="e">
        <f t="shared" si="180"/>
        <v>#DIV/0!</v>
      </c>
      <c r="AZ438" s="393" t="e">
        <f t="shared" si="181"/>
        <v>#DIV/0!</v>
      </c>
      <c r="BA438" s="393" t="e">
        <f t="shared" si="182"/>
        <v>#DIV/0!</v>
      </c>
      <c r="BB438" s="393" t="e">
        <f t="shared" si="183"/>
        <v>#DIV/0!</v>
      </c>
    </row>
    <row r="439" spans="1:54" x14ac:dyDescent="0.25">
      <c r="A439" s="360"/>
      <c r="B439" s="480"/>
      <c r="C439" s="480"/>
      <c r="D439" s="480"/>
      <c r="E439" s="480"/>
      <c r="F439" s="480"/>
      <c r="G439" s="480"/>
      <c r="H439" s="480"/>
      <c r="I439" s="480"/>
      <c r="J439" s="480"/>
      <c r="K439" s="480"/>
      <c r="L439" s="480"/>
      <c r="M439" s="480"/>
      <c r="N439" s="480"/>
      <c r="O439" s="480"/>
      <c r="P439" s="480"/>
      <c r="Q439" s="480"/>
      <c r="R439" s="480"/>
      <c r="S439" s="480"/>
      <c r="T439" s="480"/>
      <c r="U439" s="480"/>
      <c r="V439" s="480"/>
      <c r="W439" s="480"/>
      <c r="X439" s="480"/>
      <c r="Y439" s="480"/>
      <c r="Z439" s="480"/>
      <c r="AA439" s="480"/>
      <c r="AB439" s="480"/>
      <c r="AC439" s="393" t="e">
        <f t="shared" si="158"/>
        <v>#DIV/0!</v>
      </c>
      <c r="AD439" s="393" t="e">
        <f t="shared" si="159"/>
        <v>#DIV/0!</v>
      </c>
      <c r="AE439" s="393" t="e">
        <f t="shared" si="160"/>
        <v>#DIV/0!</v>
      </c>
      <c r="AF439" s="393" t="e">
        <f t="shared" si="161"/>
        <v>#DIV/0!</v>
      </c>
      <c r="AG439" s="393" t="e">
        <f t="shared" si="162"/>
        <v>#DIV/0!</v>
      </c>
      <c r="AH439" s="393" t="e">
        <f t="shared" si="163"/>
        <v>#DIV/0!</v>
      </c>
      <c r="AI439" s="393" t="e">
        <f t="shared" si="164"/>
        <v>#DIV/0!</v>
      </c>
      <c r="AJ439" s="393" t="e">
        <f t="shared" si="165"/>
        <v>#DIV/0!</v>
      </c>
      <c r="AK439" s="393" t="e">
        <f t="shared" si="166"/>
        <v>#DIV/0!</v>
      </c>
      <c r="AL439" s="393" t="e">
        <f t="shared" si="167"/>
        <v>#DIV/0!</v>
      </c>
      <c r="AM439" s="393" t="e">
        <f t="shared" si="168"/>
        <v>#DIV/0!</v>
      </c>
      <c r="AN439" s="393" t="e">
        <f t="shared" si="169"/>
        <v>#DIV/0!</v>
      </c>
      <c r="AO439" s="393" t="e">
        <f t="shared" si="170"/>
        <v>#DIV/0!</v>
      </c>
      <c r="AP439" s="393" t="e">
        <f t="shared" si="171"/>
        <v>#DIV/0!</v>
      </c>
      <c r="AQ439" s="393" t="e">
        <f t="shared" si="172"/>
        <v>#DIV/0!</v>
      </c>
      <c r="AR439" s="393" t="e">
        <f t="shared" si="173"/>
        <v>#DIV/0!</v>
      </c>
      <c r="AS439" s="393" t="e">
        <f t="shared" si="174"/>
        <v>#DIV/0!</v>
      </c>
      <c r="AT439" s="393" t="e">
        <f t="shared" si="175"/>
        <v>#DIV/0!</v>
      </c>
      <c r="AU439" s="393" t="e">
        <f t="shared" si="176"/>
        <v>#DIV/0!</v>
      </c>
      <c r="AV439" s="393" t="e">
        <f t="shared" si="177"/>
        <v>#DIV/0!</v>
      </c>
      <c r="AW439" s="393" t="e">
        <f t="shared" si="178"/>
        <v>#DIV/0!</v>
      </c>
      <c r="AX439" s="393" t="e">
        <f t="shared" si="179"/>
        <v>#DIV/0!</v>
      </c>
      <c r="AY439" s="393" t="e">
        <f t="shared" si="180"/>
        <v>#DIV/0!</v>
      </c>
      <c r="AZ439" s="393" t="e">
        <f t="shared" si="181"/>
        <v>#DIV/0!</v>
      </c>
      <c r="BA439" s="393" t="e">
        <f t="shared" si="182"/>
        <v>#DIV/0!</v>
      </c>
      <c r="BB439" s="393" t="e">
        <f t="shared" si="183"/>
        <v>#DIV/0!</v>
      </c>
    </row>
    <row r="440" spans="1:54" x14ac:dyDescent="0.25">
      <c r="A440" s="360"/>
      <c r="B440" s="480"/>
      <c r="C440" s="480"/>
      <c r="D440" s="480"/>
      <c r="E440" s="480"/>
      <c r="F440" s="480"/>
      <c r="G440" s="480"/>
      <c r="H440" s="480"/>
      <c r="I440" s="480"/>
      <c r="J440" s="480"/>
      <c r="K440" s="480"/>
      <c r="L440" s="480"/>
      <c r="M440" s="480"/>
      <c r="N440" s="480"/>
      <c r="O440" s="480"/>
      <c r="P440" s="480"/>
      <c r="Q440" s="480"/>
      <c r="R440" s="480"/>
      <c r="S440" s="480"/>
      <c r="T440" s="480"/>
      <c r="U440" s="480"/>
      <c r="V440" s="480"/>
      <c r="W440" s="480"/>
      <c r="X440" s="480"/>
      <c r="Y440" s="480"/>
      <c r="Z440" s="480"/>
      <c r="AA440" s="480"/>
      <c r="AB440" s="480"/>
      <c r="AC440" s="393" t="e">
        <f t="shared" si="158"/>
        <v>#DIV/0!</v>
      </c>
      <c r="AD440" s="393" t="e">
        <f t="shared" si="159"/>
        <v>#DIV/0!</v>
      </c>
      <c r="AE440" s="393" t="e">
        <f t="shared" si="160"/>
        <v>#DIV/0!</v>
      </c>
      <c r="AF440" s="393" t="e">
        <f t="shared" si="161"/>
        <v>#DIV/0!</v>
      </c>
      <c r="AG440" s="393" t="e">
        <f t="shared" si="162"/>
        <v>#DIV/0!</v>
      </c>
      <c r="AH440" s="393" t="e">
        <f t="shared" si="163"/>
        <v>#DIV/0!</v>
      </c>
      <c r="AI440" s="393" t="e">
        <f t="shared" si="164"/>
        <v>#DIV/0!</v>
      </c>
      <c r="AJ440" s="393" t="e">
        <f t="shared" si="165"/>
        <v>#DIV/0!</v>
      </c>
      <c r="AK440" s="393" t="e">
        <f t="shared" si="166"/>
        <v>#DIV/0!</v>
      </c>
      <c r="AL440" s="393" t="e">
        <f t="shared" si="167"/>
        <v>#DIV/0!</v>
      </c>
      <c r="AM440" s="393" t="e">
        <f t="shared" si="168"/>
        <v>#DIV/0!</v>
      </c>
      <c r="AN440" s="393" t="e">
        <f t="shared" si="169"/>
        <v>#DIV/0!</v>
      </c>
      <c r="AO440" s="393" t="e">
        <f t="shared" si="170"/>
        <v>#DIV/0!</v>
      </c>
      <c r="AP440" s="393" t="e">
        <f t="shared" si="171"/>
        <v>#DIV/0!</v>
      </c>
      <c r="AQ440" s="393" t="e">
        <f t="shared" si="172"/>
        <v>#DIV/0!</v>
      </c>
      <c r="AR440" s="393" t="e">
        <f t="shared" si="173"/>
        <v>#DIV/0!</v>
      </c>
      <c r="AS440" s="393" t="e">
        <f t="shared" si="174"/>
        <v>#DIV/0!</v>
      </c>
      <c r="AT440" s="393" t="e">
        <f t="shared" si="175"/>
        <v>#DIV/0!</v>
      </c>
      <c r="AU440" s="393" t="e">
        <f t="shared" si="176"/>
        <v>#DIV/0!</v>
      </c>
      <c r="AV440" s="393" t="e">
        <f t="shared" si="177"/>
        <v>#DIV/0!</v>
      </c>
      <c r="AW440" s="393" t="e">
        <f t="shared" si="178"/>
        <v>#DIV/0!</v>
      </c>
      <c r="AX440" s="393" t="e">
        <f t="shared" si="179"/>
        <v>#DIV/0!</v>
      </c>
      <c r="AY440" s="393" t="e">
        <f t="shared" si="180"/>
        <v>#DIV/0!</v>
      </c>
      <c r="AZ440" s="393" t="e">
        <f t="shared" si="181"/>
        <v>#DIV/0!</v>
      </c>
      <c r="BA440" s="393" t="e">
        <f t="shared" si="182"/>
        <v>#DIV/0!</v>
      </c>
      <c r="BB440" s="393" t="e">
        <f t="shared" si="183"/>
        <v>#DIV/0!</v>
      </c>
    </row>
    <row r="441" spans="1:54" x14ac:dyDescent="0.25">
      <c r="A441" s="360"/>
      <c r="B441" s="480"/>
      <c r="C441" s="480"/>
      <c r="D441" s="480"/>
      <c r="E441" s="480"/>
      <c r="F441" s="480"/>
      <c r="G441" s="480"/>
      <c r="H441" s="480"/>
      <c r="I441" s="480"/>
      <c r="J441" s="480"/>
      <c r="K441" s="480"/>
      <c r="L441" s="480"/>
      <c r="M441" s="480"/>
      <c r="N441" s="480"/>
      <c r="O441" s="480"/>
      <c r="P441" s="480"/>
      <c r="Q441" s="480"/>
      <c r="R441" s="480"/>
      <c r="S441" s="480"/>
      <c r="T441" s="480"/>
      <c r="U441" s="480"/>
      <c r="V441" s="480"/>
      <c r="W441" s="480"/>
      <c r="X441" s="480"/>
      <c r="Y441" s="480"/>
      <c r="Z441" s="480"/>
      <c r="AA441" s="480"/>
      <c r="AB441" s="480"/>
      <c r="AC441" s="393" t="e">
        <f t="shared" si="158"/>
        <v>#DIV/0!</v>
      </c>
      <c r="AD441" s="393" t="e">
        <f t="shared" si="159"/>
        <v>#DIV/0!</v>
      </c>
      <c r="AE441" s="393" t="e">
        <f t="shared" si="160"/>
        <v>#DIV/0!</v>
      </c>
      <c r="AF441" s="393" t="e">
        <f t="shared" si="161"/>
        <v>#DIV/0!</v>
      </c>
      <c r="AG441" s="393" t="e">
        <f t="shared" si="162"/>
        <v>#DIV/0!</v>
      </c>
      <c r="AH441" s="393" t="e">
        <f t="shared" si="163"/>
        <v>#DIV/0!</v>
      </c>
      <c r="AI441" s="393" t="e">
        <f t="shared" si="164"/>
        <v>#DIV/0!</v>
      </c>
      <c r="AJ441" s="393" t="e">
        <f t="shared" si="165"/>
        <v>#DIV/0!</v>
      </c>
      <c r="AK441" s="393" t="e">
        <f t="shared" si="166"/>
        <v>#DIV/0!</v>
      </c>
      <c r="AL441" s="393" t="e">
        <f t="shared" si="167"/>
        <v>#DIV/0!</v>
      </c>
      <c r="AM441" s="393" t="e">
        <f t="shared" si="168"/>
        <v>#DIV/0!</v>
      </c>
      <c r="AN441" s="393" t="e">
        <f t="shared" si="169"/>
        <v>#DIV/0!</v>
      </c>
      <c r="AO441" s="393" t="e">
        <f t="shared" si="170"/>
        <v>#DIV/0!</v>
      </c>
      <c r="AP441" s="393" t="e">
        <f t="shared" si="171"/>
        <v>#DIV/0!</v>
      </c>
      <c r="AQ441" s="393" t="e">
        <f t="shared" si="172"/>
        <v>#DIV/0!</v>
      </c>
      <c r="AR441" s="393" t="e">
        <f t="shared" si="173"/>
        <v>#DIV/0!</v>
      </c>
      <c r="AS441" s="393" t="e">
        <f t="shared" si="174"/>
        <v>#DIV/0!</v>
      </c>
      <c r="AT441" s="393" t="e">
        <f t="shared" si="175"/>
        <v>#DIV/0!</v>
      </c>
      <c r="AU441" s="393" t="e">
        <f t="shared" si="176"/>
        <v>#DIV/0!</v>
      </c>
      <c r="AV441" s="393" t="e">
        <f t="shared" si="177"/>
        <v>#DIV/0!</v>
      </c>
      <c r="AW441" s="393" t="e">
        <f t="shared" si="178"/>
        <v>#DIV/0!</v>
      </c>
      <c r="AX441" s="393" t="e">
        <f t="shared" si="179"/>
        <v>#DIV/0!</v>
      </c>
      <c r="AY441" s="393" t="e">
        <f t="shared" si="180"/>
        <v>#DIV/0!</v>
      </c>
      <c r="AZ441" s="393" t="e">
        <f t="shared" si="181"/>
        <v>#DIV/0!</v>
      </c>
      <c r="BA441" s="393" t="e">
        <f t="shared" si="182"/>
        <v>#DIV/0!</v>
      </c>
      <c r="BB441" s="393" t="e">
        <f t="shared" si="183"/>
        <v>#DIV/0!</v>
      </c>
    </row>
    <row r="442" spans="1:54" x14ac:dyDescent="0.25">
      <c r="A442" s="360"/>
      <c r="B442" s="391"/>
      <c r="C442" s="391"/>
      <c r="D442" s="391"/>
      <c r="E442" s="391"/>
      <c r="F442" s="391"/>
      <c r="G442" s="391"/>
      <c r="H442" s="391"/>
      <c r="I442" s="363"/>
      <c r="J442" s="363"/>
      <c r="K442" s="363"/>
      <c r="L442" s="363"/>
      <c r="M442" s="363"/>
      <c r="N442" s="391"/>
      <c r="O442" s="363"/>
      <c r="P442" s="363"/>
      <c r="Q442" s="363"/>
      <c r="R442" s="363"/>
      <c r="S442" s="363"/>
      <c r="T442" s="373"/>
      <c r="U442" s="373"/>
      <c r="V442" s="373"/>
      <c r="W442" s="373"/>
      <c r="X442" s="373"/>
      <c r="Y442" s="373"/>
      <c r="Z442" s="373"/>
      <c r="AA442" s="373"/>
      <c r="AB442" s="373"/>
      <c r="AC442" s="364"/>
      <c r="AD442" s="364"/>
      <c r="AE442" s="364"/>
      <c r="AF442" s="364"/>
      <c r="AG442" s="364"/>
      <c r="AH442" s="364"/>
      <c r="AI442" s="364"/>
      <c r="AJ442" s="364"/>
      <c r="AK442" s="364"/>
      <c r="AL442" s="364"/>
      <c r="AM442" s="364"/>
      <c r="AN442" s="364"/>
      <c r="AO442" s="364"/>
      <c r="AP442" s="364"/>
      <c r="AQ442" s="364"/>
      <c r="AR442" s="364"/>
      <c r="AS442" s="364"/>
    </row>
    <row r="443" spans="1:54" x14ac:dyDescent="0.25">
      <c r="A443" s="360"/>
      <c r="B443" s="366"/>
      <c r="C443" s="366"/>
      <c r="D443" s="366"/>
      <c r="E443" s="366"/>
      <c r="F443" s="366"/>
      <c r="G443" s="366"/>
      <c r="H443" s="366"/>
      <c r="I443" s="366"/>
      <c r="J443" s="366"/>
      <c r="K443" s="366"/>
      <c r="L443" s="366"/>
      <c r="M443" s="366"/>
      <c r="N443" s="384"/>
      <c r="O443" s="366"/>
      <c r="P443" s="366"/>
      <c r="Q443" s="366"/>
      <c r="R443" s="366"/>
      <c r="S443" s="366"/>
      <c r="U443" s="373"/>
      <c r="V443" s="373"/>
      <c r="W443" s="373"/>
      <c r="X443" s="373"/>
      <c r="Y443" s="373"/>
      <c r="Z443" s="373"/>
      <c r="AA443" s="373"/>
      <c r="AB443" s="373"/>
    </row>
    <row r="444" spans="1:54" x14ac:dyDescent="0.25">
      <c r="A444" s="360"/>
      <c r="B444" s="375"/>
      <c r="C444" s="375"/>
      <c r="D444" s="375"/>
      <c r="E444" s="375"/>
      <c r="F444" s="375"/>
      <c r="G444" s="375"/>
      <c r="H444" s="367"/>
      <c r="I444" s="367"/>
      <c r="J444" s="367"/>
      <c r="L444" s="372"/>
      <c r="M444" s="372"/>
      <c r="N444" s="385"/>
      <c r="O444" s="372"/>
      <c r="P444" s="372"/>
      <c r="Q444" s="372"/>
      <c r="U444" s="373"/>
      <c r="V444" s="373"/>
      <c r="W444" s="373"/>
      <c r="X444" s="373"/>
      <c r="Y444" s="373"/>
      <c r="Z444" s="373"/>
      <c r="AA444" s="373"/>
      <c r="AB444" s="373"/>
    </row>
    <row r="445" spans="1:54" s="355" customFormat="1" ht="39.6" x14ac:dyDescent="0.25">
      <c r="A445" s="360"/>
      <c r="B445" s="370"/>
      <c r="C445" s="370"/>
      <c r="D445" s="370"/>
      <c r="E445" s="370"/>
      <c r="F445" s="370"/>
      <c r="G445" s="370"/>
      <c r="H445" s="367"/>
      <c r="I445" s="367"/>
      <c r="J445" s="367"/>
      <c r="K445" s="359"/>
      <c r="L445" s="371"/>
      <c r="M445" s="371"/>
      <c r="N445" s="399"/>
      <c r="O445" s="371"/>
      <c r="P445" s="371"/>
      <c r="Q445" s="371"/>
      <c r="R445" s="359"/>
      <c r="S445" s="377"/>
      <c r="T445" s="400"/>
      <c r="U445" s="403" t="s">
        <v>1911</v>
      </c>
      <c r="V445" s="403" t="s">
        <v>1911</v>
      </c>
      <c r="W445" s="403" t="s">
        <v>1911</v>
      </c>
      <c r="X445" s="403" t="s">
        <v>1911</v>
      </c>
      <c r="Y445" s="403" t="s">
        <v>1911</v>
      </c>
      <c r="Z445" s="403" t="s">
        <v>1911</v>
      </c>
      <c r="AA445" s="403" t="s">
        <v>1911</v>
      </c>
      <c r="AB445" s="403" t="s">
        <v>1911</v>
      </c>
      <c r="AC445" s="403" t="s">
        <v>1911</v>
      </c>
      <c r="AD445" s="403" t="s">
        <v>1911</v>
      </c>
      <c r="AE445" s="403" t="s">
        <v>1911</v>
      </c>
      <c r="AF445" s="403" t="s">
        <v>1911</v>
      </c>
      <c r="AG445" s="403" t="s">
        <v>1911</v>
      </c>
      <c r="AH445" s="403" t="s">
        <v>1911</v>
      </c>
      <c r="AI445" s="403" t="s">
        <v>1911</v>
      </c>
      <c r="AJ445" s="403" t="s">
        <v>1911</v>
      </c>
      <c r="AK445" s="403" t="s">
        <v>1911</v>
      </c>
      <c r="AL445" s="403" t="s">
        <v>1911</v>
      </c>
      <c r="AM445" s="403" t="s">
        <v>1911</v>
      </c>
      <c r="AN445" s="403" t="s">
        <v>1911</v>
      </c>
      <c r="AO445" s="403" t="s">
        <v>1911</v>
      </c>
      <c r="AP445" s="403" t="s">
        <v>1911</v>
      </c>
      <c r="AQ445" s="403" t="s">
        <v>1911</v>
      </c>
      <c r="AR445" s="401"/>
      <c r="AS445" s="401"/>
      <c r="AT445" s="402"/>
      <c r="AU445" s="402"/>
      <c r="AV445" s="402"/>
      <c r="AW445" s="402"/>
      <c r="AX445" s="402"/>
      <c r="AY445" s="402"/>
      <c r="AZ445" s="402"/>
      <c r="BA445" s="402"/>
      <c r="BB445" s="402"/>
    </row>
    <row r="446" spans="1:54" x14ac:dyDescent="0.25">
      <c r="A446" s="360"/>
      <c r="B446" s="375"/>
      <c r="C446" s="375"/>
      <c r="D446" s="375"/>
      <c r="E446" s="375"/>
      <c r="F446" s="375"/>
      <c r="G446" s="375"/>
      <c r="H446" s="396"/>
      <c r="I446" s="396"/>
      <c r="J446" s="396"/>
      <c r="L446" s="363"/>
      <c r="M446" s="363"/>
      <c r="N446" s="383"/>
      <c r="O446" s="363"/>
      <c r="P446" s="363"/>
      <c r="Q446" s="363"/>
      <c r="U446" s="373"/>
      <c r="V446" s="373"/>
      <c r="W446" s="373"/>
      <c r="X446" s="373"/>
      <c r="Y446" s="373"/>
      <c r="Z446" s="373"/>
      <c r="AA446" s="373"/>
      <c r="AB446" s="373"/>
    </row>
    <row r="447" spans="1:54" x14ac:dyDescent="0.25">
      <c r="A447" s="360"/>
      <c r="B447" s="375"/>
      <c r="C447" s="375"/>
      <c r="D447" s="375"/>
      <c r="E447" s="375"/>
      <c r="F447" s="375"/>
      <c r="G447" s="375"/>
      <c r="H447" s="396"/>
      <c r="I447" s="396"/>
      <c r="J447" s="396"/>
      <c r="L447" s="368"/>
      <c r="M447" s="368"/>
      <c r="N447" s="386"/>
      <c r="O447" s="368"/>
      <c r="P447" s="368"/>
      <c r="Q447" s="368"/>
      <c r="U447" s="373"/>
      <c r="V447" s="373"/>
      <c r="W447" s="373"/>
      <c r="X447" s="373"/>
      <c r="Y447" s="373"/>
      <c r="Z447" s="373"/>
      <c r="AA447" s="373"/>
      <c r="AB447" s="373"/>
    </row>
    <row r="448" spans="1:54" x14ac:dyDescent="0.25">
      <c r="A448" s="360"/>
      <c r="B448" s="370"/>
      <c r="C448" s="370"/>
      <c r="D448" s="370"/>
      <c r="E448" s="370"/>
      <c r="F448" s="370"/>
      <c r="G448" s="371"/>
      <c r="H448" s="396"/>
      <c r="I448" s="396"/>
      <c r="J448" s="396"/>
      <c r="L448" s="370"/>
      <c r="M448" s="370"/>
      <c r="N448" s="387"/>
      <c r="O448" s="370"/>
      <c r="P448" s="370"/>
      <c r="Q448" s="370"/>
      <c r="U448" s="373"/>
      <c r="V448" s="373"/>
      <c r="W448" s="373"/>
      <c r="X448" s="373"/>
      <c r="Y448" s="373"/>
      <c r="Z448" s="373"/>
      <c r="AA448" s="373"/>
      <c r="AB448" s="373"/>
    </row>
    <row r="449" spans="1:28" x14ac:dyDescent="0.25">
      <c r="A449" s="360"/>
      <c r="B449" s="370"/>
      <c r="C449" s="370"/>
      <c r="D449" s="370"/>
      <c r="E449" s="370"/>
      <c r="F449" s="370"/>
      <c r="G449" s="371"/>
      <c r="H449" s="364"/>
      <c r="I449" s="364"/>
      <c r="J449" s="364"/>
      <c r="L449" s="370"/>
      <c r="M449" s="370"/>
      <c r="N449" s="387"/>
      <c r="O449" s="370"/>
      <c r="P449" s="370"/>
      <c r="Q449" s="370"/>
      <c r="U449" s="373"/>
      <c r="V449" s="373"/>
      <c r="W449" s="373"/>
      <c r="X449" s="373"/>
      <c r="Y449" s="373"/>
      <c r="Z449" s="373"/>
      <c r="AA449" s="373"/>
      <c r="AB449" s="373"/>
    </row>
    <row r="450" spans="1:28" x14ac:dyDescent="0.25">
      <c r="A450" s="360"/>
      <c r="B450" s="370"/>
      <c r="C450" s="370"/>
      <c r="D450" s="370"/>
      <c r="E450" s="370"/>
      <c r="F450" s="370"/>
      <c r="G450" s="371"/>
      <c r="H450" s="364"/>
      <c r="I450" s="364"/>
      <c r="J450" s="364"/>
      <c r="L450" s="370"/>
      <c r="M450" s="370"/>
      <c r="N450" s="387"/>
      <c r="O450" s="370"/>
      <c r="P450" s="370"/>
      <c r="Q450" s="370"/>
      <c r="U450" s="373"/>
      <c r="V450" s="373"/>
      <c r="W450" s="373"/>
      <c r="X450" s="373"/>
      <c r="Y450" s="373"/>
      <c r="Z450" s="373"/>
      <c r="AA450" s="373"/>
      <c r="AB450" s="373"/>
    </row>
    <row r="451" spans="1:28" x14ac:dyDescent="0.25">
      <c r="A451" s="360"/>
      <c r="B451" s="370"/>
      <c r="C451" s="370"/>
      <c r="D451" s="370"/>
      <c r="E451" s="370"/>
      <c r="F451" s="370"/>
      <c r="G451" s="371"/>
      <c r="H451" s="364"/>
      <c r="I451" s="364"/>
      <c r="J451" s="364"/>
      <c r="L451" s="370"/>
      <c r="M451" s="370"/>
      <c r="N451" s="387"/>
      <c r="O451" s="370"/>
      <c r="P451" s="370"/>
      <c r="Q451" s="370"/>
      <c r="U451" s="373"/>
      <c r="V451" s="373"/>
      <c r="W451" s="373"/>
      <c r="X451" s="373"/>
      <c r="Y451" s="373"/>
      <c r="Z451" s="373"/>
      <c r="AA451" s="373"/>
      <c r="AB451" s="373"/>
    </row>
    <row r="452" spans="1:28" x14ac:dyDescent="0.25">
      <c r="A452" s="360"/>
      <c r="B452" s="370"/>
      <c r="C452" s="370"/>
      <c r="D452" s="370"/>
      <c r="E452" s="370"/>
      <c r="F452" s="370"/>
      <c r="G452" s="371"/>
      <c r="H452" s="364"/>
      <c r="I452" s="364"/>
      <c r="J452" s="364"/>
      <c r="L452" s="370"/>
      <c r="M452" s="370"/>
      <c r="N452" s="387"/>
      <c r="O452" s="370"/>
      <c r="P452" s="370"/>
      <c r="Q452" s="370"/>
    </row>
    <row r="453" spans="1:28" x14ac:dyDescent="0.25">
      <c r="A453" s="360"/>
      <c r="B453" s="370"/>
      <c r="C453" s="370"/>
      <c r="D453" s="370"/>
      <c r="E453" s="370"/>
      <c r="F453" s="370"/>
      <c r="G453" s="371"/>
      <c r="H453" s="364"/>
      <c r="I453" s="364"/>
      <c r="J453" s="364"/>
      <c r="L453" s="370"/>
      <c r="M453" s="370"/>
      <c r="N453" s="387"/>
      <c r="O453" s="370"/>
      <c r="P453" s="370"/>
      <c r="Q453" s="370"/>
    </row>
    <row r="454" spans="1:28" x14ac:dyDescent="0.25">
      <c r="A454" s="360"/>
      <c r="B454" s="370"/>
      <c r="C454" s="370"/>
      <c r="D454" s="370"/>
      <c r="E454" s="370"/>
      <c r="F454" s="370"/>
      <c r="G454" s="371"/>
      <c r="H454" s="364"/>
      <c r="I454" s="364"/>
      <c r="J454" s="364"/>
      <c r="L454" s="370"/>
      <c r="M454" s="370"/>
      <c r="N454" s="387"/>
      <c r="O454" s="370"/>
      <c r="P454" s="370"/>
      <c r="Q454" s="370"/>
    </row>
    <row r="455" spans="1:28" x14ac:dyDescent="0.25">
      <c r="A455" s="360"/>
      <c r="B455" s="370"/>
      <c r="C455" s="370"/>
      <c r="D455" s="370"/>
      <c r="E455" s="370"/>
      <c r="F455" s="370"/>
      <c r="G455" s="371"/>
      <c r="H455" s="364"/>
      <c r="I455" s="364"/>
      <c r="J455" s="364"/>
      <c r="L455" s="370"/>
      <c r="M455" s="370"/>
      <c r="N455" s="387"/>
      <c r="O455" s="370"/>
      <c r="P455" s="370"/>
      <c r="Q455" s="370"/>
    </row>
    <row r="456" spans="1:28" x14ac:dyDescent="0.25">
      <c r="A456" s="360"/>
      <c r="B456" s="370"/>
      <c r="C456" s="370"/>
      <c r="D456" s="370"/>
      <c r="E456" s="370"/>
      <c r="F456" s="370"/>
      <c r="G456" s="371"/>
      <c r="H456" s="364"/>
      <c r="I456" s="364"/>
      <c r="J456" s="364"/>
      <c r="L456" s="370"/>
      <c r="M456" s="370"/>
      <c r="N456" s="387"/>
      <c r="O456" s="370"/>
      <c r="P456" s="370"/>
      <c r="Q456" s="370"/>
    </row>
    <row r="457" spans="1:28" x14ac:dyDescent="0.25">
      <c r="A457" s="360"/>
      <c r="B457" s="370"/>
      <c r="C457" s="370"/>
      <c r="D457" s="370"/>
      <c r="E457" s="370"/>
      <c r="F457" s="370"/>
      <c r="G457" s="371"/>
      <c r="H457" s="364"/>
      <c r="I457" s="364"/>
      <c r="J457" s="364"/>
      <c r="L457" s="370"/>
      <c r="M457" s="370"/>
      <c r="N457" s="387"/>
      <c r="O457" s="370"/>
      <c r="P457" s="370"/>
      <c r="Q457" s="370"/>
    </row>
    <row r="458" spans="1:28" x14ac:dyDescent="0.25">
      <c r="A458" s="360"/>
      <c r="B458" s="370"/>
      <c r="C458" s="370"/>
      <c r="D458" s="370"/>
      <c r="E458" s="370"/>
      <c r="F458" s="370"/>
      <c r="G458" s="371"/>
      <c r="H458" s="364"/>
      <c r="I458" s="364"/>
      <c r="J458" s="364"/>
      <c r="L458" s="370"/>
      <c r="M458" s="370"/>
      <c r="N458" s="387"/>
      <c r="O458" s="370"/>
      <c r="P458" s="370"/>
      <c r="Q458" s="370"/>
    </row>
    <row r="459" spans="1:28" x14ac:dyDescent="0.25">
      <c r="A459" s="360"/>
      <c r="B459" s="370"/>
      <c r="C459" s="370"/>
      <c r="D459" s="370"/>
      <c r="E459" s="370"/>
      <c r="F459" s="370"/>
      <c r="G459" s="371"/>
      <c r="H459" s="364"/>
      <c r="I459" s="364"/>
      <c r="J459" s="364"/>
      <c r="L459" s="370"/>
      <c r="M459" s="370"/>
      <c r="N459" s="387"/>
      <c r="O459" s="370"/>
      <c r="P459" s="370"/>
      <c r="Q459" s="370"/>
    </row>
    <row r="460" spans="1:28" x14ac:dyDescent="0.25">
      <c r="A460" s="360"/>
      <c r="B460" s="370"/>
      <c r="C460" s="370"/>
      <c r="D460" s="370"/>
      <c r="E460" s="370"/>
      <c r="F460" s="370"/>
      <c r="G460" s="371"/>
      <c r="H460" s="364"/>
      <c r="I460" s="364"/>
      <c r="J460" s="364"/>
      <c r="L460" s="370"/>
      <c r="M460" s="370"/>
      <c r="N460" s="387"/>
      <c r="O460" s="370"/>
      <c r="P460" s="370"/>
      <c r="Q460" s="370"/>
    </row>
    <row r="461" spans="1:28" x14ac:dyDescent="0.25">
      <c r="A461" s="360"/>
      <c r="B461" s="370"/>
      <c r="C461" s="370"/>
      <c r="D461" s="370"/>
      <c r="E461" s="370"/>
      <c r="F461" s="370"/>
      <c r="G461" s="371"/>
      <c r="H461" s="364"/>
      <c r="I461" s="364"/>
      <c r="J461" s="364"/>
      <c r="L461" s="370"/>
      <c r="M461" s="370"/>
      <c r="N461" s="387"/>
      <c r="O461" s="370"/>
      <c r="P461" s="370"/>
      <c r="Q461" s="370"/>
    </row>
    <row r="462" spans="1:28" x14ac:dyDescent="0.25">
      <c r="A462" s="360"/>
      <c r="B462" s="370"/>
      <c r="C462" s="370"/>
      <c r="D462" s="370"/>
      <c r="E462" s="370"/>
      <c r="F462" s="370"/>
      <c r="G462" s="371"/>
      <c r="H462" s="364"/>
      <c r="I462" s="364"/>
      <c r="J462" s="364"/>
      <c r="L462" s="370"/>
      <c r="M462" s="370"/>
      <c r="N462" s="387"/>
      <c r="O462" s="370"/>
      <c r="P462" s="370"/>
      <c r="Q462" s="370"/>
    </row>
    <row r="463" spans="1:28" x14ac:dyDescent="0.25">
      <c r="A463" s="360"/>
      <c r="B463" s="370"/>
      <c r="C463" s="370"/>
      <c r="D463" s="370"/>
      <c r="E463" s="370"/>
      <c r="F463" s="370"/>
      <c r="G463" s="371"/>
      <c r="H463" s="364"/>
      <c r="I463" s="364"/>
      <c r="J463" s="364"/>
      <c r="L463" s="370"/>
      <c r="M463" s="370"/>
      <c r="N463" s="387"/>
      <c r="O463" s="370"/>
      <c r="P463" s="370"/>
      <c r="Q463" s="370"/>
    </row>
    <row r="464" spans="1:28" x14ac:dyDescent="0.25">
      <c r="A464" s="360"/>
      <c r="B464" s="370"/>
      <c r="C464" s="370"/>
      <c r="D464" s="370"/>
      <c r="E464" s="370"/>
      <c r="F464" s="370"/>
      <c r="G464" s="371"/>
      <c r="H464" s="364"/>
      <c r="I464" s="364"/>
      <c r="J464" s="364"/>
      <c r="L464" s="370"/>
      <c r="M464" s="370"/>
      <c r="N464" s="387"/>
      <c r="O464" s="370"/>
      <c r="P464" s="370"/>
      <c r="Q464" s="370"/>
    </row>
    <row r="465" spans="1:17" x14ac:dyDescent="0.25">
      <c r="A465" s="360"/>
      <c r="B465" s="370"/>
      <c r="C465" s="370"/>
      <c r="D465" s="370"/>
      <c r="E465" s="370"/>
      <c r="F465" s="370"/>
      <c r="G465" s="371"/>
      <c r="H465" s="364"/>
      <c r="I465" s="364"/>
      <c r="J465" s="364"/>
      <c r="L465" s="370"/>
      <c r="M465" s="370"/>
      <c r="N465" s="387"/>
      <c r="O465" s="370"/>
      <c r="P465" s="370"/>
      <c r="Q465" s="370"/>
    </row>
    <row r="466" spans="1:17" x14ac:dyDescent="0.25">
      <c r="A466" s="360"/>
      <c r="B466" s="370"/>
      <c r="C466" s="370"/>
      <c r="D466" s="370"/>
      <c r="E466" s="370"/>
      <c r="F466" s="370"/>
      <c r="G466" s="371"/>
      <c r="H466" s="364"/>
      <c r="I466" s="364"/>
      <c r="J466" s="364"/>
      <c r="L466" s="370"/>
      <c r="M466" s="370"/>
      <c r="N466" s="387"/>
      <c r="O466" s="370"/>
      <c r="P466" s="370"/>
      <c r="Q466" s="370"/>
    </row>
    <row r="467" spans="1:17" x14ac:dyDescent="0.25">
      <c r="A467" s="360"/>
      <c r="B467" s="370"/>
      <c r="C467" s="370"/>
      <c r="D467" s="370"/>
      <c r="E467" s="370"/>
      <c r="F467" s="370"/>
      <c r="G467" s="371"/>
      <c r="H467" s="364"/>
      <c r="I467" s="364"/>
      <c r="J467" s="364"/>
      <c r="L467" s="370"/>
      <c r="M467" s="370"/>
      <c r="N467" s="387"/>
      <c r="O467" s="370"/>
      <c r="P467" s="370"/>
      <c r="Q467" s="370"/>
    </row>
    <row r="468" spans="1:17" x14ac:dyDescent="0.25">
      <c r="A468" s="360"/>
      <c r="B468" s="370"/>
      <c r="C468" s="370"/>
      <c r="D468" s="370"/>
      <c r="E468" s="370"/>
      <c r="F468" s="370"/>
      <c r="G468" s="371"/>
      <c r="H468" s="364"/>
      <c r="I468" s="364"/>
      <c r="J468" s="364"/>
      <c r="L468" s="370"/>
      <c r="M468" s="370"/>
      <c r="N468" s="387"/>
      <c r="O468" s="370"/>
      <c r="P468" s="370"/>
      <c r="Q468" s="370"/>
    </row>
    <row r="469" spans="1:17" x14ac:dyDescent="0.25">
      <c r="A469" s="360"/>
      <c r="B469" s="370"/>
      <c r="C469" s="370"/>
      <c r="D469" s="370"/>
      <c r="E469" s="370"/>
      <c r="F469" s="370"/>
      <c r="G469" s="371"/>
      <c r="H469" s="364"/>
      <c r="I469" s="364"/>
      <c r="J469" s="364"/>
      <c r="L469" s="370"/>
      <c r="M469" s="370"/>
      <c r="N469" s="387"/>
      <c r="O469" s="370"/>
      <c r="P469" s="370"/>
      <c r="Q469" s="370"/>
    </row>
    <row r="470" spans="1:17" x14ac:dyDescent="0.25">
      <c r="A470" s="360"/>
      <c r="B470" s="370"/>
      <c r="C470" s="370"/>
      <c r="D470" s="370"/>
      <c r="E470" s="370"/>
      <c r="F470" s="370"/>
      <c r="G470" s="371"/>
      <c r="H470" s="364"/>
      <c r="I470" s="364"/>
      <c r="J470" s="364"/>
      <c r="L470" s="370"/>
      <c r="M470" s="370"/>
      <c r="N470" s="387"/>
      <c r="O470" s="370"/>
      <c r="P470" s="370"/>
      <c r="Q470" s="370"/>
    </row>
    <row r="471" spans="1:17" x14ac:dyDescent="0.25">
      <c r="A471" s="360"/>
      <c r="B471" s="370"/>
      <c r="C471" s="370"/>
      <c r="D471" s="370"/>
      <c r="E471" s="370"/>
      <c r="F471" s="370"/>
      <c r="G471" s="371"/>
      <c r="H471" s="364"/>
      <c r="I471" s="364"/>
      <c r="J471" s="364"/>
      <c r="L471" s="370"/>
      <c r="M471" s="370"/>
      <c r="N471" s="387"/>
      <c r="O471" s="370"/>
      <c r="P471" s="370"/>
      <c r="Q471" s="370"/>
    </row>
    <row r="472" spans="1:17" x14ac:dyDescent="0.25">
      <c r="A472" s="360"/>
      <c r="B472" s="370"/>
      <c r="C472" s="370"/>
      <c r="D472" s="370"/>
      <c r="E472" s="370"/>
      <c r="F472" s="370"/>
      <c r="G472" s="371"/>
      <c r="H472" s="364"/>
      <c r="I472" s="364"/>
      <c r="J472" s="364"/>
      <c r="L472" s="370"/>
      <c r="M472" s="370"/>
      <c r="N472" s="387"/>
      <c r="O472" s="370"/>
      <c r="P472" s="370"/>
      <c r="Q472" s="370"/>
    </row>
    <row r="473" spans="1:17" x14ac:dyDescent="0.25">
      <c r="A473" s="360"/>
      <c r="B473" s="370"/>
      <c r="C473" s="370"/>
      <c r="D473" s="370"/>
      <c r="E473" s="370"/>
      <c r="F473" s="370"/>
      <c r="G473" s="371"/>
      <c r="H473" s="364"/>
      <c r="I473" s="364"/>
      <c r="J473" s="364"/>
      <c r="L473" s="370"/>
      <c r="M473" s="370"/>
      <c r="N473" s="387"/>
      <c r="O473" s="370"/>
      <c r="P473" s="370"/>
      <c r="Q473" s="370"/>
    </row>
    <row r="474" spans="1:17" x14ac:dyDescent="0.25">
      <c r="A474" s="360"/>
      <c r="B474" s="370"/>
      <c r="C474" s="370"/>
      <c r="D474" s="370"/>
      <c r="E474" s="370"/>
      <c r="F474" s="370"/>
      <c r="G474" s="371"/>
      <c r="H474" s="364"/>
      <c r="I474" s="364"/>
      <c r="J474" s="364"/>
      <c r="L474" s="370"/>
      <c r="M474" s="370"/>
      <c r="N474" s="387"/>
      <c r="O474" s="370"/>
      <c r="P474" s="370"/>
      <c r="Q474" s="370"/>
    </row>
    <row r="475" spans="1:17" x14ac:dyDescent="0.25">
      <c r="A475" s="360"/>
      <c r="B475" s="370"/>
      <c r="C475" s="370"/>
      <c r="D475" s="370"/>
      <c r="E475" s="370"/>
      <c r="F475" s="370"/>
      <c r="G475" s="371"/>
      <c r="H475" s="364"/>
      <c r="I475" s="364"/>
      <c r="J475" s="364"/>
      <c r="L475" s="370"/>
      <c r="M475" s="370"/>
      <c r="N475" s="387"/>
      <c r="O475" s="370"/>
      <c r="P475" s="370"/>
      <c r="Q475" s="370"/>
    </row>
    <row r="476" spans="1:17" x14ac:dyDescent="0.25">
      <c r="A476" s="360"/>
      <c r="G476" s="373"/>
      <c r="H476" s="364"/>
      <c r="I476" s="364"/>
      <c r="J476" s="364"/>
    </row>
    <row r="477" spans="1:17" x14ac:dyDescent="0.25">
      <c r="A477" s="360"/>
    </row>
    <row r="478" spans="1:17" x14ac:dyDescent="0.25">
      <c r="A478" s="360"/>
    </row>
    <row r="479" spans="1:17" x14ac:dyDescent="0.25">
      <c r="A479" s="360"/>
    </row>
    <row r="480" spans="1:17" x14ac:dyDescent="0.25">
      <c r="A480" s="360"/>
    </row>
    <row r="481" spans="1:1" x14ac:dyDescent="0.25">
      <c r="A481" s="360"/>
    </row>
    <row r="482" spans="1:1" x14ac:dyDescent="0.25">
      <c r="A482" s="360"/>
    </row>
    <row r="483" spans="1:1" x14ac:dyDescent="0.25">
      <c r="A483" s="360"/>
    </row>
    <row r="484" spans="1:1" x14ac:dyDescent="0.25">
      <c r="A484" s="360"/>
    </row>
    <row r="485" spans="1:1" x14ac:dyDescent="0.25">
      <c r="A485" s="360"/>
    </row>
    <row r="486" spans="1:1" x14ac:dyDescent="0.25">
      <c r="A486" s="360"/>
    </row>
    <row r="487" spans="1:1" x14ac:dyDescent="0.25">
      <c r="A487" s="360"/>
    </row>
    <row r="488" spans="1:1" x14ac:dyDescent="0.25">
      <c r="A488" s="360"/>
    </row>
    <row r="489" spans="1:1" x14ac:dyDescent="0.25">
      <c r="A489" s="360"/>
    </row>
    <row r="490" spans="1:1" x14ac:dyDescent="0.25">
      <c r="A490" s="360"/>
    </row>
    <row r="491" spans="1:1" x14ac:dyDescent="0.25">
      <c r="A491" s="360"/>
    </row>
    <row r="492" spans="1:1" x14ac:dyDescent="0.25">
      <c r="A492" s="360"/>
    </row>
    <row r="493" spans="1:1" x14ac:dyDescent="0.25">
      <c r="A493" s="360"/>
    </row>
    <row r="494" spans="1:1" x14ac:dyDescent="0.25">
      <c r="A494" s="360"/>
    </row>
    <row r="495" spans="1:1" x14ac:dyDescent="0.25">
      <c r="A495" s="360"/>
    </row>
    <row r="496" spans="1:1" x14ac:dyDescent="0.25">
      <c r="A496" s="360"/>
    </row>
    <row r="497" spans="1:1" x14ac:dyDescent="0.25">
      <c r="A497" s="360"/>
    </row>
    <row r="498" spans="1:1" x14ac:dyDescent="0.25">
      <c r="A498" s="360"/>
    </row>
    <row r="499" spans="1:1" x14ac:dyDescent="0.25">
      <c r="A499" s="360"/>
    </row>
    <row r="500" spans="1:1" x14ac:dyDescent="0.25">
      <c r="A500" s="360"/>
    </row>
    <row r="501" spans="1:1" x14ac:dyDescent="0.25">
      <c r="A501" s="360"/>
    </row>
    <row r="502" spans="1:1" x14ac:dyDescent="0.25">
      <c r="A502" s="360"/>
    </row>
    <row r="503" spans="1:1" x14ac:dyDescent="0.25">
      <c r="A503" s="360"/>
    </row>
    <row r="504" spans="1:1" x14ac:dyDescent="0.25">
      <c r="A504" s="360"/>
    </row>
    <row r="505" spans="1:1" x14ac:dyDescent="0.25">
      <c r="A505" s="360"/>
    </row>
    <row r="506" spans="1:1" x14ac:dyDescent="0.25">
      <c r="A506" s="360"/>
    </row>
    <row r="507" spans="1:1" x14ac:dyDescent="0.25">
      <c r="A507" s="360"/>
    </row>
    <row r="508" spans="1:1" x14ac:dyDescent="0.25">
      <c r="A508" s="360"/>
    </row>
    <row r="509" spans="1:1" x14ac:dyDescent="0.25">
      <c r="A509" s="360"/>
    </row>
    <row r="510" spans="1:1" x14ac:dyDescent="0.25">
      <c r="A510" s="360"/>
    </row>
    <row r="511" spans="1:1" x14ac:dyDescent="0.25">
      <c r="A511" s="360"/>
    </row>
    <row r="512" spans="1:1" x14ac:dyDescent="0.25">
      <c r="A512" s="360"/>
    </row>
    <row r="513" spans="1:1" x14ac:dyDescent="0.25">
      <c r="A513" s="360"/>
    </row>
    <row r="514" spans="1:1" x14ac:dyDescent="0.25">
      <c r="A514" s="360"/>
    </row>
    <row r="515" spans="1:1" x14ac:dyDescent="0.25">
      <c r="A515" s="360"/>
    </row>
    <row r="516" spans="1:1" x14ac:dyDescent="0.25">
      <c r="A516" s="360"/>
    </row>
    <row r="517" spans="1:1" x14ac:dyDescent="0.25">
      <c r="A517" s="360"/>
    </row>
    <row r="518" spans="1:1" x14ac:dyDescent="0.25">
      <c r="A518" s="360"/>
    </row>
    <row r="519" spans="1:1" x14ac:dyDescent="0.25">
      <c r="A519" s="360"/>
    </row>
    <row r="520" spans="1:1" x14ac:dyDescent="0.25">
      <c r="A520" s="360"/>
    </row>
    <row r="521" spans="1:1" x14ac:dyDescent="0.25">
      <c r="A521" s="360"/>
    </row>
    <row r="522" spans="1:1" x14ac:dyDescent="0.25">
      <c r="A522" s="360"/>
    </row>
    <row r="523" spans="1:1" x14ac:dyDescent="0.25">
      <c r="A523" s="360"/>
    </row>
    <row r="524" spans="1:1" x14ac:dyDescent="0.25">
      <c r="A524" s="360"/>
    </row>
    <row r="525" spans="1:1" x14ac:dyDescent="0.25">
      <c r="A525" s="360"/>
    </row>
    <row r="526" spans="1:1" x14ac:dyDescent="0.25">
      <c r="A526" s="360"/>
    </row>
    <row r="527" spans="1:1" x14ac:dyDescent="0.25">
      <c r="A527" s="360"/>
    </row>
    <row r="528" spans="1:1" x14ac:dyDescent="0.25">
      <c r="A528" s="360"/>
    </row>
    <row r="529" spans="1:1" x14ac:dyDescent="0.25">
      <c r="A529" s="360"/>
    </row>
    <row r="530" spans="1:1" x14ac:dyDescent="0.25">
      <c r="A530" s="360"/>
    </row>
    <row r="531" spans="1:1" x14ac:dyDescent="0.25">
      <c r="A531" s="360"/>
    </row>
    <row r="532" spans="1:1" x14ac:dyDescent="0.25">
      <c r="A532" s="360"/>
    </row>
    <row r="533" spans="1:1" x14ac:dyDescent="0.25">
      <c r="A533" s="360"/>
    </row>
    <row r="534" spans="1:1" x14ac:dyDescent="0.25">
      <c r="A534" s="360"/>
    </row>
    <row r="535" spans="1:1" x14ac:dyDescent="0.25">
      <c r="A535" s="360"/>
    </row>
    <row r="536" spans="1:1" x14ac:dyDescent="0.25">
      <c r="A536" s="360"/>
    </row>
    <row r="537" spans="1:1" x14ac:dyDescent="0.25">
      <c r="A537" s="360"/>
    </row>
    <row r="538" spans="1:1" x14ac:dyDescent="0.25">
      <c r="A538" s="360"/>
    </row>
    <row r="539" spans="1:1" x14ac:dyDescent="0.25">
      <c r="A539" s="358"/>
    </row>
    <row r="540" spans="1:1" x14ac:dyDescent="0.25">
      <c r="A540" s="358"/>
    </row>
    <row r="541" spans="1:1" x14ac:dyDescent="0.25">
      <c r="A541" s="358"/>
    </row>
    <row r="542" spans="1:1" x14ac:dyDescent="0.25">
      <c r="A542" s="358"/>
    </row>
    <row r="543" spans="1:1" x14ac:dyDescent="0.25">
      <c r="A543" s="358"/>
    </row>
    <row r="544" spans="1:1" x14ac:dyDescent="0.25">
      <c r="A544" s="358"/>
    </row>
    <row r="545" spans="1:1" x14ac:dyDescent="0.25">
      <c r="A545" s="358"/>
    </row>
    <row r="546" spans="1:1" x14ac:dyDescent="0.25">
      <c r="A546" s="358"/>
    </row>
    <row r="547" spans="1:1" x14ac:dyDescent="0.25">
      <c r="A547" s="358"/>
    </row>
    <row r="548" spans="1:1" x14ac:dyDescent="0.25">
      <c r="A548" s="358"/>
    </row>
    <row r="549" spans="1:1" x14ac:dyDescent="0.25">
      <c r="A549" s="358"/>
    </row>
    <row r="550" spans="1:1" x14ac:dyDescent="0.25">
      <c r="A550" s="358"/>
    </row>
    <row r="551" spans="1:1" x14ac:dyDescent="0.25">
      <c r="A551" s="358"/>
    </row>
    <row r="552" spans="1:1" x14ac:dyDescent="0.25">
      <c r="A552" s="358"/>
    </row>
    <row r="553" spans="1:1" x14ac:dyDescent="0.25">
      <c r="A553" s="358"/>
    </row>
    <row r="554" spans="1:1" x14ac:dyDescent="0.25">
      <c r="A554" s="358"/>
    </row>
    <row r="555" spans="1:1" x14ac:dyDescent="0.25">
      <c r="A555" s="358"/>
    </row>
    <row r="556" spans="1:1" x14ac:dyDescent="0.25">
      <c r="A556" s="358"/>
    </row>
    <row r="557" spans="1:1" x14ac:dyDescent="0.25">
      <c r="A557" s="358"/>
    </row>
    <row r="558" spans="1:1" x14ac:dyDescent="0.25">
      <c r="A558" s="358"/>
    </row>
    <row r="559" spans="1:1" x14ac:dyDescent="0.25">
      <c r="A559" s="358"/>
    </row>
    <row r="560" spans="1:1" x14ac:dyDescent="0.25">
      <c r="A560" s="358"/>
    </row>
    <row r="561" spans="1:1" x14ac:dyDescent="0.25">
      <c r="A561" s="358"/>
    </row>
    <row r="562" spans="1:1" x14ac:dyDescent="0.25">
      <c r="A562" s="358"/>
    </row>
    <row r="563" spans="1:1" x14ac:dyDescent="0.25">
      <c r="A563" s="358"/>
    </row>
    <row r="564" spans="1:1" x14ac:dyDescent="0.25">
      <c r="A564" s="358"/>
    </row>
    <row r="565" spans="1:1" x14ac:dyDescent="0.25">
      <c r="A565" s="358"/>
    </row>
    <row r="566" spans="1:1" x14ac:dyDescent="0.25">
      <c r="A566" s="358"/>
    </row>
    <row r="567" spans="1:1" x14ac:dyDescent="0.25">
      <c r="A567" s="358"/>
    </row>
    <row r="568" spans="1:1" x14ac:dyDescent="0.25">
      <c r="A568" s="358"/>
    </row>
    <row r="569" spans="1:1" x14ac:dyDescent="0.25">
      <c r="A569" s="358"/>
    </row>
    <row r="570" spans="1:1" x14ac:dyDescent="0.25">
      <c r="A570" s="358"/>
    </row>
    <row r="571" spans="1:1" x14ac:dyDescent="0.25">
      <c r="A571" s="358"/>
    </row>
    <row r="572" spans="1:1" x14ac:dyDescent="0.25">
      <c r="A572" s="358"/>
    </row>
    <row r="573" spans="1:1" x14ac:dyDescent="0.25">
      <c r="A573" s="358"/>
    </row>
    <row r="574" spans="1:1" x14ac:dyDescent="0.25">
      <c r="A574" s="358"/>
    </row>
    <row r="575" spans="1:1" x14ac:dyDescent="0.25">
      <c r="A575" s="358"/>
    </row>
    <row r="576" spans="1:1" x14ac:dyDescent="0.25">
      <c r="A576" s="358"/>
    </row>
    <row r="577" spans="1:1" x14ac:dyDescent="0.25">
      <c r="A577" s="358"/>
    </row>
    <row r="578" spans="1:1" x14ac:dyDescent="0.25">
      <c r="A578" s="358"/>
    </row>
    <row r="579" spans="1:1" x14ac:dyDescent="0.25">
      <c r="A579" s="358"/>
    </row>
    <row r="580" spans="1:1" x14ac:dyDescent="0.25">
      <c r="A580" s="358"/>
    </row>
    <row r="581" spans="1:1" x14ac:dyDescent="0.25">
      <c r="A581" s="358"/>
    </row>
    <row r="582" spans="1:1" x14ac:dyDescent="0.25">
      <c r="A582" s="358"/>
    </row>
    <row r="583" spans="1:1" x14ac:dyDescent="0.25">
      <c r="A583" s="358"/>
    </row>
    <row r="584" spans="1:1" x14ac:dyDescent="0.25">
      <c r="A584" s="358"/>
    </row>
    <row r="585" spans="1:1" x14ac:dyDescent="0.25">
      <c r="A585" s="358"/>
    </row>
    <row r="586" spans="1:1" x14ac:dyDescent="0.25">
      <c r="A586" s="358"/>
    </row>
    <row r="587" spans="1:1" x14ac:dyDescent="0.25">
      <c r="A587" s="358"/>
    </row>
    <row r="588" spans="1:1" x14ac:dyDescent="0.25">
      <c r="A588" s="358"/>
    </row>
    <row r="589" spans="1:1" x14ac:dyDescent="0.25">
      <c r="A589" s="358"/>
    </row>
    <row r="590" spans="1:1" x14ac:dyDescent="0.25">
      <c r="A590" s="358"/>
    </row>
    <row r="591" spans="1:1" x14ac:dyDescent="0.25">
      <c r="A591" s="358"/>
    </row>
    <row r="592" spans="1:1" x14ac:dyDescent="0.25">
      <c r="A592" s="358"/>
    </row>
    <row r="593" spans="1:1" x14ac:dyDescent="0.25">
      <c r="A593" s="358"/>
    </row>
    <row r="594" spans="1:1" x14ac:dyDescent="0.25">
      <c r="A594" s="358"/>
    </row>
    <row r="595" spans="1:1" x14ac:dyDescent="0.25">
      <c r="A595" s="358"/>
    </row>
    <row r="596" spans="1:1" x14ac:dyDescent="0.25">
      <c r="A596" s="358"/>
    </row>
    <row r="597" spans="1:1" x14ac:dyDescent="0.25">
      <c r="A597" s="358"/>
    </row>
    <row r="598" spans="1:1" x14ac:dyDescent="0.25">
      <c r="A598" s="358"/>
    </row>
    <row r="599" spans="1:1" x14ac:dyDescent="0.25">
      <c r="A599" s="358"/>
    </row>
    <row r="600" spans="1:1" x14ac:dyDescent="0.25">
      <c r="A600" s="358"/>
    </row>
    <row r="601" spans="1:1" x14ac:dyDescent="0.25">
      <c r="A601" s="358"/>
    </row>
    <row r="602" spans="1:1" x14ac:dyDescent="0.25">
      <c r="A602" s="358"/>
    </row>
    <row r="603" spans="1:1" x14ac:dyDescent="0.25">
      <c r="A603" s="358"/>
    </row>
    <row r="604" spans="1:1" x14ac:dyDescent="0.25">
      <c r="A604" s="358"/>
    </row>
    <row r="605" spans="1:1" x14ac:dyDescent="0.25">
      <c r="A605" s="358"/>
    </row>
    <row r="606" spans="1:1" x14ac:dyDescent="0.25">
      <c r="A606" s="358"/>
    </row>
    <row r="607" spans="1:1" x14ac:dyDescent="0.25">
      <c r="A607" s="358"/>
    </row>
    <row r="608" spans="1:1" x14ac:dyDescent="0.25">
      <c r="A608" s="358"/>
    </row>
    <row r="609" spans="1:1" x14ac:dyDescent="0.25">
      <c r="A609" s="358"/>
    </row>
    <row r="610" spans="1:1" x14ac:dyDescent="0.25">
      <c r="A610" s="358"/>
    </row>
    <row r="611" spans="1:1" x14ac:dyDescent="0.25">
      <c r="A611" s="358"/>
    </row>
    <row r="612" spans="1:1" x14ac:dyDescent="0.25">
      <c r="A612" s="358"/>
    </row>
    <row r="613" spans="1:1" x14ac:dyDescent="0.25">
      <c r="A613" s="358"/>
    </row>
    <row r="614" spans="1:1" x14ac:dyDescent="0.25">
      <c r="A614" s="358"/>
    </row>
    <row r="615" spans="1:1" x14ac:dyDescent="0.25">
      <c r="A615" s="358"/>
    </row>
    <row r="616" spans="1:1" x14ac:dyDescent="0.25">
      <c r="A616" s="358"/>
    </row>
    <row r="617" spans="1:1" x14ac:dyDescent="0.25">
      <c r="A617" s="358"/>
    </row>
    <row r="618" spans="1:1" x14ac:dyDescent="0.25">
      <c r="A618" s="358"/>
    </row>
    <row r="619" spans="1:1" x14ac:dyDescent="0.25">
      <c r="A619" s="358"/>
    </row>
    <row r="620" spans="1:1" x14ac:dyDescent="0.25">
      <c r="A620" s="358"/>
    </row>
    <row r="621" spans="1:1" x14ac:dyDescent="0.25">
      <c r="A621" s="358"/>
    </row>
    <row r="622" spans="1:1" x14ac:dyDescent="0.25">
      <c r="A622" s="358"/>
    </row>
    <row r="623" spans="1:1" x14ac:dyDescent="0.25">
      <c r="A623" s="358"/>
    </row>
    <row r="624" spans="1:1" x14ac:dyDescent="0.25">
      <c r="A624" s="358"/>
    </row>
    <row r="625" spans="1:1" x14ac:dyDescent="0.25">
      <c r="A625" s="358"/>
    </row>
    <row r="626" spans="1:1" x14ac:dyDescent="0.25">
      <c r="A626" s="358"/>
    </row>
    <row r="627" spans="1:1" x14ac:dyDescent="0.25">
      <c r="A627" s="358"/>
    </row>
    <row r="628" spans="1:1" x14ac:dyDescent="0.25">
      <c r="A628" s="358"/>
    </row>
    <row r="629" spans="1:1" x14ac:dyDescent="0.25">
      <c r="A629" s="358"/>
    </row>
    <row r="630" spans="1:1" x14ac:dyDescent="0.25">
      <c r="A630" s="358"/>
    </row>
    <row r="631" spans="1:1" x14ac:dyDescent="0.25">
      <c r="A631" s="358"/>
    </row>
    <row r="632" spans="1:1" x14ac:dyDescent="0.25">
      <c r="A632" s="358"/>
    </row>
    <row r="633" spans="1:1" x14ac:dyDescent="0.25">
      <c r="A633" s="358"/>
    </row>
    <row r="634" spans="1:1" x14ac:dyDescent="0.25">
      <c r="A634" s="358"/>
    </row>
    <row r="635" spans="1:1" x14ac:dyDescent="0.25">
      <c r="A635" s="358"/>
    </row>
    <row r="636" spans="1:1" x14ac:dyDescent="0.25">
      <c r="A636" s="358"/>
    </row>
    <row r="637" spans="1:1" x14ac:dyDescent="0.25">
      <c r="A637" s="358"/>
    </row>
    <row r="638" spans="1:1" x14ac:dyDescent="0.25">
      <c r="A638" s="358"/>
    </row>
    <row r="639" spans="1:1" x14ac:dyDescent="0.25">
      <c r="A639" s="358"/>
    </row>
    <row r="640" spans="1:1" x14ac:dyDescent="0.25">
      <c r="A640" s="358"/>
    </row>
    <row r="641" spans="1:1" x14ac:dyDescent="0.25">
      <c r="A641" s="358"/>
    </row>
    <row r="642" spans="1:1" x14ac:dyDescent="0.25">
      <c r="A642" s="358"/>
    </row>
    <row r="643" spans="1:1" x14ac:dyDescent="0.25">
      <c r="A643" s="358"/>
    </row>
    <row r="644" spans="1:1" x14ac:dyDescent="0.25">
      <c r="A644" s="358"/>
    </row>
    <row r="645" spans="1:1" x14ac:dyDescent="0.25">
      <c r="A645" s="358"/>
    </row>
    <row r="646" spans="1:1" x14ac:dyDescent="0.25">
      <c r="A646" s="358"/>
    </row>
    <row r="647" spans="1:1" x14ac:dyDescent="0.25">
      <c r="A647" s="358"/>
    </row>
    <row r="648" spans="1:1" x14ac:dyDescent="0.25">
      <c r="A648" s="358"/>
    </row>
    <row r="649" spans="1:1" x14ac:dyDescent="0.25">
      <c r="A649" s="358"/>
    </row>
    <row r="650" spans="1:1" x14ac:dyDescent="0.25">
      <c r="A650" s="358"/>
    </row>
    <row r="651" spans="1:1" x14ac:dyDescent="0.25">
      <c r="A651" s="358"/>
    </row>
    <row r="652" spans="1:1" x14ac:dyDescent="0.25">
      <c r="A652" s="358"/>
    </row>
    <row r="653" spans="1:1" x14ac:dyDescent="0.25">
      <c r="A653" s="358"/>
    </row>
    <row r="654" spans="1:1" x14ac:dyDescent="0.25">
      <c r="A654" s="358"/>
    </row>
    <row r="655" spans="1:1" x14ac:dyDescent="0.25">
      <c r="A655" s="358"/>
    </row>
    <row r="656" spans="1:1" x14ac:dyDescent="0.25">
      <c r="A656" s="358"/>
    </row>
  </sheetData>
  <sortState xmlns:xlrd2="http://schemas.microsoft.com/office/spreadsheetml/2017/richdata2" ref="A5:BB441">
    <sortCondition ref="BB5:BB441"/>
  </sortState>
  <phoneticPr fontId="43" type="noConversion"/>
  <printOptions horizontalCentered="1"/>
  <pageMargins left="0" right="0" top="0" bottom="0" header="0" footer="0"/>
  <pageSetup paperSize="9" scale="3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J139"/>
  <sheetViews>
    <sheetView zoomScale="70" workbookViewId="0">
      <selection activeCell="A99" sqref="A99:A136"/>
    </sheetView>
  </sheetViews>
  <sheetFormatPr defaultColWidth="8" defaultRowHeight="18" customHeight="1" x14ac:dyDescent="0.25"/>
  <cols>
    <col min="1" max="1" width="6.21875" style="631" customWidth="1"/>
    <col min="2" max="2" width="46.6640625" style="194" customWidth="1"/>
    <col min="3" max="3" width="4.33203125" style="196" customWidth="1"/>
    <col min="4" max="4" width="4.6640625" style="196" customWidth="1"/>
    <col min="5" max="5" width="5" style="196" customWidth="1"/>
    <col min="6" max="6" width="39.109375" style="194" customWidth="1"/>
    <col min="7" max="7" width="4.88671875" style="196" customWidth="1"/>
    <col min="8" max="8" width="4.109375" style="196" customWidth="1"/>
    <col min="9" max="9" width="5" style="196" customWidth="1"/>
    <col min="10" max="10" width="36.21875" style="194" customWidth="1"/>
    <col min="11" max="11" width="5.109375" style="196" customWidth="1"/>
    <col min="12" max="12" width="4.109375" style="196" customWidth="1"/>
    <col min="13" max="13" width="5" style="196" customWidth="1"/>
    <col min="14" max="14" width="34.109375" style="194" customWidth="1"/>
    <col min="15" max="15" width="4.109375" style="194" customWidth="1"/>
    <col min="16" max="16" width="4.21875" style="194" customWidth="1"/>
    <col min="17" max="17" width="4.77734375" style="194" customWidth="1"/>
    <col min="18" max="32" width="3.77734375" style="194" customWidth="1"/>
    <col min="33" max="33" width="8.44140625" style="194" bestFit="1" customWidth="1"/>
    <col min="34" max="36" width="3.77734375" style="194" customWidth="1"/>
    <col min="37" max="37" width="18.77734375" style="194" customWidth="1"/>
    <col min="38" max="40" width="3.77734375" style="194" customWidth="1"/>
    <col min="41" max="41" width="13.88671875" style="194" customWidth="1"/>
    <col min="42" max="44" width="3.77734375" style="194" customWidth="1"/>
    <col min="45" max="45" width="15" style="194" customWidth="1"/>
    <col min="46" max="48" width="3.77734375" style="194" customWidth="1"/>
    <col min="49" max="49" width="15.44140625" style="194" bestFit="1" customWidth="1"/>
    <col min="50" max="53" width="3.77734375" style="194" customWidth="1"/>
    <col min="54" max="54" width="19.77734375" style="194" bestFit="1" customWidth="1"/>
    <col min="55" max="57" width="3.77734375" style="194" customWidth="1"/>
    <col min="58" max="58" width="19.77734375" style="194" bestFit="1" customWidth="1"/>
    <col min="59" max="94" width="3.88671875" style="194" customWidth="1"/>
    <col min="95" max="16384" width="8" style="194"/>
  </cols>
  <sheetData>
    <row r="1" spans="1:62" ht="18" customHeight="1" x14ac:dyDescent="0.3">
      <c r="A1" s="700" t="s">
        <v>355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</row>
    <row r="2" spans="1:62" ht="18" customHeight="1" x14ac:dyDescent="0.25">
      <c r="A2" s="648"/>
      <c r="B2" s="561" t="s">
        <v>1182</v>
      </c>
      <c r="E2" s="562" t="s">
        <v>4612</v>
      </c>
      <c r="F2" s="562"/>
      <c r="G2" s="563"/>
      <c r="H2" s="563"/>
      <c r="I2" s="563"/>
      <c r="J2" s="612"/>
    </row>
    <row r="3" spans="1:62" ht="18" customHeight="1" x14ac:dyDescent="0.3">
      <c r="A3" s="649"/>
      <c r="B3" s="701" t="s">
        <v>271</v>
      </c>
      <c r="C3" s="702"/>
      <c r="D3" s="702"/>
      <c r="E3" s="703"/>
      <c r="F3" s="701" t="s">
        <v>272</v>
      </c>
      <c r="G3" s="702"/>
      <c r="H3" s="702"/>
      <c r="I3" s="703"/>
      <c r="J3" s="701" t="s">
        <v>273</v>
      </c>
      <c r="K3" s="702"/>
      <c r="L3" s="702"/>
      <c r="M3" s="703"/>
      <c r="N3" s="701" t="s">
        <v>3373</v>
      </c>
      <c r="O3" s="702"/>
      <c r="P3" s="702"/>
      <c r="Q3" s="703"/>
      <c r="BG3" s="195"/>
      <c r="BH3" s="257"/>
      <c r="BI3" s="257"/>
      <c r="BJ3" s="257"/>
    </row>
    <row r="4" spans="1:62" ht="18" customHeight="1" x14ac:dyDescent="0.25">
      <c r="A4" s="649"/>
      <c r="B4" s="258" t="s">
        <v>2016</v>
      </c>
      <c r="C4" s="258" t="s">
        <v>2981</v>
      </c>
      <c r="D4" s="258" t="s">
        <v>320</v>
      </c>
      <c r="E4" s="258" t="s">
        <v>2987</v>
      </c>
      <c r="F4" s="258" t="s">
        <v>2016</v>
      </c>
      <c r="G4" s="258" t="s">
        <v>2981</v>
      </c>
      <c r="H4" s="258" t="s">
        <v>320</v>
      </c>
      <c r="I4" s="258" t="s">
        <v>2987</v>
      </c>
      <c r="J4" s="258" t="s">
        <v>2016</v>
      </c>
      <c r="K4" s="258" t="s">
        <v>2981</v>
      </c>
      <c r="L4" s="258" t="s">
        <v>320</v>
      </c>
      <c r="M4" s="258" t="s">
        <v>2987</v>
      </c>
      <c r="N4" s="258" t="s">
        <v>2016</v>
      </c>
      <c r="O4" s="258" t="s">
        <v>2981</v>
      </c>
      <c r="P4" s="258" t="s">
        <v>320</v>
      </c>
      <c r="Q4" s="258" t="s">
        <v>2987</v>
      </c>
      <c r="BH4" s="259"/>
      <c r="BI4" s="259"/>
      <c r="BJ4" s="260"/>
    </row>
    <row r="5" spans="1:62" s="267" customFormat="1" ht="18" customHeight="1" x14ac:dyDescent="0.2">
      <c r="A5" s="650">
        <v>1978</v>
      </c>
      <c r="B5" s="263" t="s">
        <v>322</v>
      </c>
      <c r="C5" s="264">
        <v>11</v>
      </c>
      <c r="D5" s="264">
        <v>14</v>
      </c>
      <c r="E5" s="265">
        <f>+C5+D5</f>
        <v>25</v>
      </c>
      <c r="F5" s="262" t="s">
        <v>323</v>
      </c>
      <c r="G5" s="266">
        <v>9</v>
      </c>
      <c r="H5" s="264">
        <v>18</v>
      </c>
      <c r="I5" s="265">
        <f>+G5+H5</f>
        <v>27</v>
      </c>
      <c r="J5" s="262" t="s">
        <v>324</v>
      </c>
      <c r="K5" s="266">
        <v>6</v>
      </c>
      <c r="L5" s="264">
        <v>22</v>
      </c>
      <c r="M5" s="265">
        <f>+K5+L5</f>
        <v>28</v>
      </c>
      <c r="Q5" s="278"/>
      <c r="BC5" s="267" t="s">
        <v>4610</v>
      </c>
      <c r="BD5" s="267" t="s">
        <v>4611</v>
      </c>
      <c r="BG5" s="267" t="s">
        <v>4610</v>
      </c>
      <c r="BH5" s="267" t="s">
        <v>4611</v>
      </c>
    </row>
    <row r="6" spans="1:62" s="267" customFormat="1" ht="18" customHeight="1" x14ac:dyDescent="0.2">
      <c r="A6" s="650">
        <v>1979</v>
      </c>
      <c r="B6" s="704" t="s">
        <v>321</v>
      </c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349"/>
      <c r="O6" s="349"/>
      <c r="P6" s="349"/>
      <c r="Q6" s="350"/>
      <c r="AD6" s="699">
        <v>2012</v>
      </c>
      <c r="AE6" s="699"/>
      <c r="AF6" s="699"/>
      <c r="AH6" s="699">
        <v>2013</v>
      </c>
      <c r="AI6" s="699"/>
      <c r="AJ6" s="699"/>
      <c r="AL6" s="699">
        <v>2014</v>
      </c>
      <c r="AM6" s="699"/>
      <c r="AN6" s="699"/>
      <c r="AP6" s="699">
        <v>2015</v>
      </c>
      <c r="AQ6" s="699"/>
      <c r="AR6" s="699"/>
      <c r="AT6" s="699">
        <v>2016</v>
      </c>
      <c r="AU6" s="699"/>
      <c r="AV6" s="699"/>
      <c r="AY6" s="699">
        <v>2017</v>
      </c>
      <c r="AZ6" s="699"/>
      <c r="BA6" s="699"/>
      <c r="BC6" s="699">
        <v>2018</v>
      </c>
      <c r="BD6" s="699"/>
      <c r="BE6" s="699"/>
      <c r="BG6" s="699">
        <v>2019</v>
      </c>
      <c r="BH6" s="699"/>
      <c r="BI6" s="699"/>
    </row>
    <row r="7" spans="1:62" s="267" customFormat="1" ht="18" customHeight="1" x14ac:dyDescent="0.2">
      <c r="A7" s="650">
        <v>1980</v>
      </c>
      <c r="B7" s="263" t="s">
        <v>191</v>
      </c>
      <c r="C7" s="264">
        <v>7</v>
      </c>
      <c r="D7" s="264">
        <v>22</v>
      </c>
      <c r="E7" s="265">
        <f>+C7+D7</f>
        <v>29</v>
      </c>
      <c r="F7" s="262" t="s">
        <v>325</v>
      </c>
      <c r="G7" s="266">
        <v>12</v>
      </c>
      <c r="H7" s="264">
        <v>16</v>
      </c>
      <c r="I7" s="265">
        <f>+G7+H7</f>
        <v>28</v>
      </c>
      <c r="J7" s="262" t="s">
        <v>326</v>
      </c>
      <c r="K7" s="266">
        <v>11</v>
      </c>
      <c r="L7" s="264">
        <v>11</v>
      </c>
      <c r="M7" s="265">
        <f>+K7+L7</f>
        <v>22</v>
      </c>
      <c r="N7" s="267" t="s">
        <v>327</v>
      </c>
      <c r="O7" s="267">
        <v>10</v>
      </c>
      <c r="P7" s="267">
        <v>20</v>
      </c>
      <c r="Q7" s="275">
        <f t="shared" ref="Q7:Q39" si="0">+O7+P7</f>
        <v>30</v>
      </c>
      <c r="U7" s="267">
        <v>8</v>
      </c>
      <c r="V7" s="267">
        <v>22</v>
      </c>
      <c r="W7" s="267">
        <f t="shared" ref="W7:W51" si="1">+U7+V7</f>
        <v>30</v>
      </c>
      <c r="Y7" s="267">
        <v>20</v>
      </c>
      <c r="Z7" s="267">
        <v>13</v>
      </c>
      <c r="AA7" s="267">
        <f t="shared" ref="AA7:AA39" si="2">+Y7+Z7</f>
        <v>33</v>
      </c>
      <c r="AD7" s="267">
        <v>7</v>
      </c>
      <c r="AE7" s="267">
        <v>17</v>
      </c>
      <c r="AF7" s="267">
        <f t="shared" ref="AF7:AF39" si="3">+AD7+AE7</f>
        <v>24</v>
      </c>
      <c r="AG7" s="267" t="s">
        <v>1175</v>
      </c>
      <c r="AH7" s="267">
        <v>7</v>
      </c>
      <c r="AI7" s="267">
        <v>21</v>
      </c>
      <c r="AJ7" s="267">
        <f t="shared" ref="AJ7:AJ39" si="4">+AH7+AI7</f>
        <v>28</v>
      </c>
      <c r="AK7" s="267" t="s">
        <v>2011</v>
      </c>
      <c r="AL7" s="267">
        <v>8</v>
      </c>
      <c r="AM7" s="267">
        <v>22</v>
      </c>
      <c r="AN7" s="267">
        <f t="shared" ref="AN7:AN51" si="5">+AL7+AM7</f>
        <v>30</v>
      </c>
      <c r="AO7" s="267" t="s">
        <v>1175</v>
      </c>
      <c r="AP7" s="267">
        <v>7</v>
      </c>
      <c r="AQ7" s="267">
        <v>22</v>
      </c>
      <c r="AR7" s="267">
        <f t="shared" ref="AR7:AR42" si="6">+AP7+AQ7</f>
        <v>29</v>
      </c>
      <c r="AS7" s="267" t="s">
        <v>2011</v>
      </c>
      <c r="AT7" s="267">
        <v>7</v>
      </c>
      <c r="AU7" s="267">
        <v>21</v>
      </c>
      <c r="AV7" s="267">
        <f t="shared" ref="AV7:AV41" si="7">+AT7+AU7</f>
        <v>28</v>
      </c>
      <c r="AW7" s="267" t="s">
        <v>1150</v>
      </c>
      <c r="AY7" s="267">
        <v>7</v>
      </c>
      <c r="AZ7" s="266">
        <v>16</v>
      </c>
      <c r="BA7" s="267">
        <f t="shared" ref="BA7:BA43" si="8">+AY7+AZ7</f>
        <v>23</v>
      </c>
      <c r="BB7" s="267" t="s">
        <v>4489</v>
      </c>
      <c r="BC7" s="267">
        <v>3</v>
      </c>
      <c r="BD7" s="267">
        <v>20</v>
      </c>
      <c r="BE7" s="267">
        <f t="shared" ref="BE7:BE41" si="9">+BC7+BD7</f>
        <v>23</v>
      </c>
      <c r="BF7" s="267" t="s">
        <v>4489</v>
      </c>
      <c r="BG7" s="267">
        <v>2</v>
      </c>
      <c r="BH7" s="267">
        <v>21</v>
      </c>
      <c r="BI7" s="267">
        <f t="shared" ref="BI7:BI43" si="10">+BG7+BH7</f>
        <v>23</v>
      </c>
      <c r="BJ7" s="267" t="s">
        <v>4489</v>
      </c>
    </row>
    <row r="8" spans="1:62" s="267" customFormat="1" ht="18" customHeight="1" x14ac:dyDescent="0.2">
      <c r="A8" s="650">
        <v>1981</v>
      </c>
      <c r="B8" s="263" t="s">
        <v>328</v>
      </c>
      <c r="C8" s="264">
        <v>16</v>
      </c>
      <c r="D8" s="264">
        <v>17</v>
      </c>
      <c r="E8" s="269">
        <f t="shared" ref="E8:E41" si="11">+D8+C8</f>
        <v>33</v>
      </c>
      <c r="F8" s="262" t="s">
        <v>3869</v>
      </c>
      <c r="G8" s="266">
        <v>5</v>
      </c>
      <c r="H8" s="264">
        <v>28</v>
      </c>
      <c r="I8" s="269">
        <f t="shared" ref="I8:I38" si="12">+H8+G8</f>
        <v>33</v>
      </c>
      <c r="J8" s="262" t="s">
        <v>3657</v>
      </c>
      <c r="K8" s="266">
        <v>8</v>
      </c>
      <c r="L8" s="264">
        <v>28</v>
      </c>
      <c r="M8" s="269">
        <f t="shared" ref="M8:M39" si="13">+L8+K8</f>
        <v>36</v>
      </c>
      <c r="N8" s="267" t="s">
        <v>3</v>
      </c>
      <c r="O8" s="267">
        <v>9</v>
      </c>
      <c r="P8" s="267">
        <v>27</v>
      </c>
      <c r="Q8" s="269">
        <f t="shared" si="0"/>
        <v>36</v>
      </c>
      <c r="U8" s="267">
        <v>21</v>
      </c>
      <c r="V8" s="285">
        <v>10</v>
      </c>
      <c r="W8" s="267">
        <f t="shared" si="1"/>
        <v>31</v>
      </c>
      <c r="Y8" s="267">
        <v>3</v>
      </c>
      <c r="Z8" s="267">
        <v>33</v>
      </c>
      <c r="AA8" s="267">
        <f t="shared" si="2"/>
        <v>36</v>
      </c>
      <c r="AD8" s="267">
        <v>8</v>
      </c>
      <c r="AE8" s="267">
        <v>30</v>
      </c>
      <c r="AF8" s="267">
        <f t="shared" si="3"/>
        <v>38</v>
      </c>
      <c r="AG8" s="267" t="s">
        <v>4451</v>
      </c>
      <c r="AH8" s="267">
        <v>9</v>
      </c>
      <c r="AI8" s="266">
        <v>28</v>
      </c>
      <c r="AJ8" s="267">
        <f t="shared" si="4"/>
        <v>37</v>
      </c>
      <c r="AK8" s="267" t="s">
        <v>2566</v>
      </c>
      <c r="AL8" s="267">
        <v>21</v>
      </c>
      <c r="AM8" s="267">
        <v>10</v>
      </c>
      <c r="AN8" s="267">
        <f t="shared" si="5"/>
        <v>31</v>
      </c>
      <c r="AO8" s="267" t="s">
        <v>1176</v>
      </c>
      <c r="AP8" s="267">
        <v>6</v>
      </c>
      <c r="AQ8" s="267">
        <v>24</v>
      </c>
      <c r="AR8" s="267">
        <f t="shared" si="6"/>
        <v>30</v>
      </c>
      <c r="AS8" s="267" t="s">
        <v>1173</v>
      </c>
      <c r="AT8" s="267">
        <v>9</v>
      </c>
      <c r="AU8" s="267">
        <v>22</v>
      </c>
      <c r="AV8" s="267">
        <f t="shared" si="7"/>
        <v>31</v>
      </c>
      <c r="AW8" s="267" t="s">
        <v>2011</v>
      </c>
      <c r="AY8" s="267">
        <v>17</v>
      </c>
      <c r="AZ8" s="267">
        <v>13</v>
      </c>
      <c r="BA8" s="267">
        <f t="shared" si="8"/>
        <v>30</v>
      </c>
      <c r="BB8" s="267" t="s">
        <v>1150</v>
      </c>
      <c r="BC8" s="267">
        <v>8</v>
      </c>
      <c r="BD8" s="266">
        <v>21</v>
      </c>
      <c r="BE8" s="267">
        <f t="shared" si="9"/>
        <v>29</v>
      </c>
      <c r="BF8" s="267" t="s">
        <v>2011</v>
      </c>
      <c r="BG8" s="267">
        <v>8</v>
      </c>
      <c r="BH8" s="266">
        <v>17</v>
      </c>
      <c r="BI8" s="267">
        <f t="shared" si="10"/>
        <v>25</v>
      </c>
      <c r="BJ8" s="267" t="s">
        <v>1150</v>
      </c>
    </row>
    <row r="9" spans="1:62" s="267" customFormat="1" ht="18" customHeight="1" x14ac:dyDescent="0.2">
      <c r="A9" s="650">
        <v>1982</v>
      </c>
      <c r="B9" s="263" t="s">
        <v>4</v>
      </c>
      <c r="C9" s="264">
        <v>11</v>
      </c>
      <c r="D9" s="264">
        <v>19</v>
      </c>
      <c r="E9" s="269">
        <f t="shared" si="11"/>
        <v>30</v>
      </c>
      <c r="F9" s="262" t="s">
        <v>117</v>
      </c>
      <c r="G9" s="266">
        <v>6</v>
      </c>
      <c r="H9" s="264">
        <v>30</v>
      </c>
      <c r="I9" s="269">
        <f t="shared" si="12"/>
        <v>36</v>
      </c>
      <c r="J9" s="262" t="s">
        <v>4460</v>
      </c>
      <c r="K9" s="266">
        <v>15</v>
      </c>
      <c r="L9" s="264">
        <v>21</v>
      </c>
      <c r="M9" s="269">
        <f t="shared" si="13"/>
        <v>36</v>
      </c>
      <c r="N9" s="267" t="s">
        <v>5</v>
      </c>
      <c r="O9" s="268">
        <v>10</v>
      </c>
      <c r="P9" s="268">
        <v>27</v>
      </c>
      <c r="Q9" s="269">
        <f t="shared" si="0"/>
        <v>37</v>
      </c>
      <c r="U9" s="267">
        <v>11</v>
      </c>
      <c r="V9" s="267">
        <v>24</v>
      </c>
      <c r="W9" s="267">
        <f t="shared" si="1"/>
        <v>35</v>
      </c>
      <c r="Y9" s="267">
        <v>24</v>
      </c>
      <c r="Z9" s="267">
        <v>14</v>
      </c>
      <c r="AA9" s="267">
        <f t="shared" si="2"/>
        <v>38</v>
      </c>
      <c r="AD9" s="267">
        <v>25</v>
      </c>
      <c r="AE9" s="267">
        <v>15</v>
      </c>
      <c r="AF9" s="267">
        <f t="shared" si="3"/>
        <v>40</v>
      </c>
      <c r="AG9" s="267" t="s">
        <v>4452</v>
      </c>
      <c r="AH9" s="267">
        <v>20</v>
      </c>
      <c r="AI9" s="267">
        <v>20</v>
      </c>
      <c r="AJ9" s="267">
        <f t="shared" si="4"/>
        <v>40</v>
      </c>
      <c r="AK9" s="267" t="s">
        <v>1662</v>
      </c>
      <c r="AL9" s="267">
        <v>3</v>
      </c>
      <c r="AM9" s="267">
        <v>29</v>
      </c>
      <c r="AN9" s="267">
        <f t="shared" si="5"/>
        <v>32</v>
      </c>
      <c r="AO9" s="267" t="s">
        <v>1150</v>
      </c>
      <c r="AP9" s="267">
        <v>11</v>
      </c>
      <c r="AQ9" s="267">
        <v>23</v>
      </c>
      <c r="AR9" s="267">
        <f t="shared" si="6"/>
        <v>34</v>
      </c>
      <c r="AS9" s="267" t="s">
        <v>1150</v>
      </c>
      <c r="AT9" s="267">
        <v>14</v>
      </c>
      <c r="AU9" s="267">
        <v>22</v>
      </c>
      <c r="AV9" s="267">
        <f t="shared" si="7"/>
        <v>36</v>
      </c>
      <c r="AW9" s="267" t="s">
        <v>4283</v>
      </c>
      <c r="AY9" s="267">
        <v>18</v>
      </c>
      <c r="AZ9" s="267">
        <v>16</v>
      </c>
      <c r="BA9" s="267">
        <f t="shared" si="8"/>
        <v>34</v>
      </c>
      <c r="BB9" s="267" t="s">
        <v>4405</v>
      </c>
      <c r="BC9" s="267">
        <v>7</v>
      </c>
      <c r="BD9" s="267">
        <v>25</v>
      </c>
      <c r="BE9" s="267">
        <f t="shared" si="9"/>
        <v>32</v>
      </c>
      <c r="BF9" s="267" t="s">
        <v>1150</v>
      </c>
      <c r="BG9" s="267">
        <v>9</v>
      </c>
      <c r="BH9" s="267">
        <v>21</v>
      </c>
      <c r="BI9" s="267">
        <f t="shared" si="10"/>
        <v>30</v>
      </c>
      <c r="BJ9" s="267" t="s">
        <v>4405</v>
      </c>
    </row>
    <row r="10" spans="1:62" s="267" customFormat="1" ht="18" customHeight="1" x14ac:dyDescent="0.2">
      <c r="A10" s="650">
        <v>1983</v>
      </c>
      <c r="B10" s="263" t="s">
        <v>6</v>
      </c>
      <c r="C10" s="264">
        <v>16</v>
      </c>
      <c r="D10" s="264">
        <v>17</v>
      </c>
      <c r="E10" s="269">
        <f t="shared" si="11"/>
        <v>33</v>
      </c>
      <c r="F10" s="262" t="s">
        <v>2559</v>
      </c>
      <c r="G10" s="266">
        <v>14</v>
      </c>
      <c r="H10" s="264">
        <v>19</v>
      </c>
      <c r="I10" s="269">
        <f t="shared" si="12"/>
        <v>33</v>
      </c>
      <c r="J10" s="262" t="s">
        <v>4</v>
      </c>
      <c r="K10" s="266">
        <v>11</v>
      </c>
      <c r="L10" s="264">
        <v>23</v>
      </c>
      <c r="M10" s="269">
        <f t="shared" si="13"/>
        <v>34</v>
      </c>
      <c r="N10" s="267" t="s">
        <v>2560</v>
      </c>
      <c r="O10" s="267">
        <v>13</v>
      </c>
      <c r="P10" s="267">
        <v>22</v>
      </c>
      <c r="Q10" s="269">
        <f t="shared" si="0"/>
        <v>35</v>
      </c>
      <c r="U10" s="267">
        <v>28</v>
      </c>
      <c r="V10" s="267">
        <v>15</v>
      </c>
      <c r="W10" s="267">
        <f t="shared" si="1"/>
        <v>43</v>
      </c>
      <c r="Y10" s="267">
        <v>23</v>
      </c>
      <c r="Z10" s="267">
        <v>16</v>
      </c>
      <c r="AA10" s="267">
        <f t="shared" si="2"/>
        <v>39</v>
      </c>
      <c r="AD10" s="267">
        <v>12</v>
      </c>
      <c r="AE10" s="267">
        <v>30</v>
      </c>
      <c r="AF10" s="267">
        <f t="shared" si="3"/>
        <v>42</v>
      </c>
      <c r="AH10" s="267">
        <v>26</v>
      </c>
      <c r="AI10" s="267">
        <v>15</v>
      </c>
      <c r="AJ10" s="267">
        <f t="shared" si="4"/>
        <v>41</v>
      </c>
      <c r="AK10" s="267" t="s">
        <v>4288</v>
      </c>
      <c r="AL10" s="267">
        <v>7</v>
      </c>
      <c r="AM10" s="267">
        <v>29</v>
      </c>
      <c r="AN10" s="267">
        <f t="shared" si="5"/>
        <v>36</v>
      </c>
      <c r="AO10" s="267" t="s">
        <v>1173</v>
      </c>
      <c r="AP10" s="267">
        <v>14</v>
      </c>
      <c r="AQ10" s="267">
        <v>24</v>
      </c>
      <c r="AR10" s="267">
        <f t="shared" si="6"/>
        <v>38</v>
      </c>
      <c r="AS10" s="267" t="s">
        <v>316</v>
      </c>
      <c r="AT10" s="267">
        <v>23</v>
      </c>
      <c r="AU10" s="267">
        <v>14</v>
      </c>
      <c r="AV10" s="267">
        <f t="shared" si="7"/>
        <v>37</v>
      </c>
      <c r="AW10" s="267" t="s">
        <v>4405</v>
      </c>
      <c r="AY10" s="267">
        <v>11</v>
      </c>
      <c r="AZ10" s="267">
        <v>25</v>
      </c>
      <c r="BA10" s="267">
        <f t="shared" si="8"/>
        <v>36</v>
      </c>
      <c r="BB10" s="267" t="s">
        <v>319</v>
      </c>
      <c r="BC10" s="267">
        <v>16</v>
      </c>
      <c r="BD10" s="267">
        <v>18</v>
      </c>
      <c r="BE10" s="267">
        <f t="shared" si="9"/>
        <v>34</v>
      </c>
      <c r="BF10" s="267" t="s">
        <v>4405</v>
      </c>
      <c r="BG10" s="267">
        <v>10</v>
      </c>
      <c r="BH10" s="267">
        <v>23</v>
      </c>
      <c r="BI10" s="267">
        <f t="shared" si="10"/>
        <v>33</v>
      </c>
      <c r="BJ10" s="267" t="s">
        <v>4451</v>
      </c>
    </row>
    <row r="11" spans="1:62" s="267" customFormat="1" ht="18" customHeight="1" x14ac:dyDescent="0.2">
      <c r="A11" s="650">
        <v>1984</v>
      </c>
      <c r="B11" s="263" t="s">
        <v>2561</v>
      </c>
      <c r="C11" s="264">
        <v>11</v>
      </c>
      <c r="D11" s="264">
        <v>19</v>
      </c>
      <c r="E11" s="269">
        <f t="shared" si="11"/>
        <v>30</v>
      </c>
      <c r="F11" s="262" t="s">
        <v>6</v>
      </c>
      <c r="G11" s="266">
        <v>15</v>
      </c>
      <c r="H11" s="264">
        <v>16</v>
      </c>
      <c r="I11" s="269">
        <f t="shared" si="12"/>
        <v>31</v>
      </c>
      <c r="J11" s="262" t="s">
        <v>2562</v>
      </c>
      <c r="K11" s="266">
        <v>16</v>
      </c>
      <c r="L11" s="264">
        <v>16</v>
      </c>
      <c r="M11" s="269">
        <f t="shared" si="13"/>
        <v>32</v>
      </c>
      <c r="N11" s="267" t="s">
        <v>2563</v>
      </c>
      <c r="O11" s="267">
        <v>5</v>
      </c>
      <c r="P11" s="267">
        <v>32</v>
      </c>
      <c r="Q11" s="269">
        <f t="shared" si="0"/>
        <v>37</v>
      </c>
      <c r="U11" s="267">
        <v>20</v>
      </c>
      <c r="V11" s="267">
        <v>24</v>
      </c>
      <c r="W11" s="267">
        <f t="shared" si="1"/>
        <v>44</v>
      </c>
      <c r="Y11" s="267">
        <v>8</v>
      </c>
      <c r="Z11" s="267">
        <v>32</v>
      </c>
      <c r="AA11" s="267">
        <f t="shared" si="2"/>
        <v>40</v>
      </c>
      <c r="AD11" s="267">
        <v>20</v>
      </c>
      <c r="AE11" s="267">
        <v>23</v>
      </c>
      <c r="AF11" s="267">
        <f t="shared" si="3"/>
        <v>43</v>
      </c>
      <c r="AH11" s="267">
        <v>5</v>
      </c>
      <c r="AI11" s="267">
        <v>37</v>
      </c>
      <c r="AJ11" s="267">
        <f t="shared" si="4"/>
        <v>42</v>
      </c>
      <c r="AK11" s="267" t="s">
        <v>3287</v>
      </c>
      <c r="AL11" s="267">
        <v>12</v>
      </c>
      <c r="AM11" s="267">
        <v>24</v>
      </c>
      <c r="AN11" s="267">
        <f t="shared" si="5"/>
        <v>36</v>
      </c>
      <c r="AP11" s="267">
        <v>10</v>
      </c>
      <c r="AQ11" s="266">
        <v>29</v>
      </c>
      <c r="AR11" s="267">
        <f t="shared" si="6"/>
        <v>39</v>
      </c>
      <c r="AT11" s="267">
        <v>24</v>
      </c>
      <c r="AU11" s="285">
        <v>13</v>
      </c>
      <c r="AV11" s="267">
        <f t="shared" si="7"/>
        <v>37</v>
      </c>
      <c r="AY11" s="267">
        <v>6</v>
      </c>
      <c r="AZ11" s="267">
        <v>32</v>
      </c>
      <c r="BA11" s="267">
        <f t="shared" si="8"/>
        <v>38</v>
      </c>
      <c r="BB11" s="267" t="s">
        <v>4503</v>
      </c>
      <c r="BC11" s="267">
        <v>6</v>
      </c>
      <c r="BD11" s="267">
        <v>29</v>
      </c>
      <c r="BE11" s="267">
        <f t="shared" si="9"/>
        <v>35</v>
      </c>
      <c r="BF11" s="267" t="s">
        <v>1173</v>
      </c>
      <c r="BG11" s="267">
        <v>14</v>
      </c>
      <c r="BH11" s="267">
        <v>22</v>
      </c>
      <c r="BI11" s="267">
        <f t="shared" si="10"/>
        <v>36</v>
      </c>
      <c r="BJ11" s="267" t="s">
        <v>401</v>
      </c>
    </row>
    <row r="12" spans="1:62" s="267" customFormat="1" ht="18" customHeight="1" x14ac:dyDescent="0.2">
      <c r="A12" s="650">
        <v>1985</v>
      </c>
      <c r="B12" s="263" t="s">
        <v>2564</v>
      </c>
      <c r="C12" s="264">
        <v>13</v>
      </c>
      <c r="D12" s="264">
        <v>17</v>
      </c>
      <c r="E12" s="269">
        <f t="shared" si="11"/>
        <v>30</v>
      </c>
      <c r="F12" s="262" t="s">
        <v>2565</v>
      </c>
      <c r="G12" s="266">
        <v>14</v>
      </c>
      <c r="H12" s="264">
        <v>22</v>
      </c>
      <c r="I12" s="269">
        <f t="shared" si="12"/>
        <v>36</v>
      </c>
      <c r="J12" s="262" t="s">
        <v>5</v>
      </c>
      <c r="K12" s="266">
        <v>11</v>
      </c>
      <c r="L12" s="264">
        <v>26</v>
      </c>
      <c r="M12" s="269">
        <f t="shared" si="13"/>
        <v>37</v>
      </c>
      <c r="N12" s="267" t="s">
        <v>2567</v>
      </c>
      <c r="O12" s="267">
        <v>7</v>
      </c>
      <c r="P12" s="267">
        <v>34</v>
      </c>
      <c r="Q12" s="269">
        <f t="shared" si="0"/>
        <v>41</v>
      </c>
      <c r="U12" s="267">
        <v>23</v>
      </c>
      <c r="V12" s="267">
        <v>22</v>
      </c>
      <c r="W12" s="267">
        <f t="shared" si="1"/>
        <v>45</v>
      </c>
      <c r="Y12" s="267">
        <v>17</v>
      </c>
      <c r="Z12" s="267">
        <v>25</v>
      </c>
      <c r="AA12" s="267">
        <f t="shared" si="2"/>
        <v>42</v>
      </c>
      <c r="AD12" s="267">
        <v>24</v>
      </c>
      <c r="AE12" s="267">
        <v>19</v>
      </c>
      <c r="AF12" s="267">
        <f t="shared" si="3"/>
        <v>43</v>
      </c>
      <c r="AH12" s="267">
        <v>23</v>
      </c>
      <c r="AI12" s="267">
        <v>19</v>
      </c>
      <c r="AJ12" s="267">
        <f t="shared" si="4"/>
        <v>42</v>
      </c>
      <c r="AK12" s="267" t="s">
        <v>187</v>
      </c>
      <c r="AL12" s="267">
        <v>28</v>
      </c>
      <c r="AM12" s="285">
        <v>15</v>
      </c>
      <c r="AN12" s="267">
        <f t="shared" si="5"/>
        <v>43</v>
      </c>
      <c r="AP12" s="267">
        <v>18</v>
      </c>
      <c r="AQ12" s="267">
        <v>21</v>
      </c>
      <c r="AR12" s="267">
        <f t="shared" si="6"/>
        <v>39</v>
      </c>
      <c r="AT12" s="267">
        <v>30</v>
      </c>
      <c r="AU12" s="267">
        <v>7</v>
      </c>
      <c r="AV12" s="267">
        <f t="shared" si="7"/>
        <v>37</v>
      </c>
      <c r="AY12" s="267">
        <v>9</v>
      </c>
      <c r="AZ12" s="267">
        <v>29</v>
      </c>
      <c r="BA12" s="267">
        <f t="shared" si="8"/>
        <v>38</v>
      </c>
      <c r="BC12" s="267">
        <v>12</v>
      </c>
      <c r="BD12" s="267">
        <v>24</v>
      </c>
      <c r="BE12" s="267">
        <f t="shared" si="9"/>
        <v>36</v>
      </c>
      <c r="BF12" s="267" t="s">
        <v>319</v>
      </c>
      <c r="BG12" s="267">
        <v>17</v>
      </c>
      <c r="BH12" s="267">
        <v>20</v>
      </c>
      <c r="BI12" s="267">
        <f t="shared" si="10"/>
        <v>37</v>
      </c>
      <c r="BJ12" s="267" t="s">
        <v>4276</v>
      </c>
    </row>
    <row r="13" spans="1:62" s="267" customFormat="1" ht="18" customHeight="1" x14ac:dyDescent="0.2">
      <c r="A13" s="650">
        <v>1986</v>
      </c>
      <c r="B13" s="263" t="s">
        <v>2565</v>
      </c>
      <c r="C13" s="264">
        <v>11</v>
      </c>
      <c r="D13" s="264">
        <v>17</v>
      </c>
      <c r="E13" s="269">
        <f t="shared" si="11"/>
        <v>28</v>
      </c>
      <c r="F13" s="262" t="s">
        <v>2568</v>
      </c>
      <c r="G13" s="266">
        <v>13</v>
      </c>
      <c r="H13" s="264">
        <v>22</v>
      </c>
      <c r="I13" s="269">
        <f t="shared" si="12"/>
        <v>35</v>
      </c>
      <c r="J13" s="262" t="s">
        <v>4101</v>
      </c>
      <c r="K13" s="266">
        <v>25</v>
      </c>
      <c r="L13" s="264">
        <v>15</v>
      </c>
      <c r="M13" s="269">
        <f t="shared" si="13"/>
        <v>40</v>
      </c>
      <c r="N13" s="267" t="s">
        <v>4102</v>
      </c>
      <c r="O13" s="267">
        <v>6</v>
      </c>
      <c r="P13" s="267">
        <v>35</v>
      </c>
      <c r="Q13" s="269">
        <f t="shared" si="0"/>
        <v>41</v>
      </c>
      <c r="U13" s="267">
        <v>26</v>
      </c>
      <c r="V13" s="266">
        <v>20</v>
      </c>
      <c r="W13" s="267">
        <f t="shared" si="1"/>
        <v>46</v>
      </c>
      <c r="Y13" s="267">
        <v>10</v>
      </c>
      <c r="Z13" s="267">
        <v>34</v>
      </c>
      <c r="AA13" s="267">
        <f t="shared" si="2"/>
        <v>44</v>
      </c>
      <c r="AD13" s="267">
        <v>5</v>
      </c>
      <c r="AE13" s="267">
        <v>40</v>
      </c>
      <c r="AF13" s="267">
        <f t="shared" si="3"/>
        <v>45</v>
      </c>
      <c r="AH13" s="267">
        <v>10</v>
      </c>
      <c r="AI13" s="267">
        <v>34</v>
      </c>
      <c r="AJ13" s="267">
        <f t="shared" si="4"/>
        <v>44</v>
      </c>
      <c r="AK13" s="267" t="s">
        <v>188</v>
      </c>
      <c r="AL13" s="267">
        <v>10</v>
      </c>
      <c r="AM13" s="266">
        <v>34</v>
      </c>
      <c r="AN13" s="267">
        <f t="shared" si="5"/>
        <v>44</v>
      </c>
      <c r="AP13" s="267">
        <v>20</v>
      </c>
      <c r="AQ13" s="267">
        <v>20</v>
      </c>
      <c r="AR13" s="267">
        <f t="shared" si="6"/>
        <v>40</v>
      </c>
      <c r="AT13" s="267">
        <v>5</v>
      </c>
      <c r="AU13" s="266">
        <v>33</v>
      </c>
      <c r="AV13" s="267">
        <f t="shared" si="7"/>
        <v>38</v>
      </c>
      <c r="AY13" s="267">
        <v>10</v>
      </c>
      <c r="AZ13" s="267">
        <v>31</v>
      </c>
      <c r="BA13" s="267">
        <f t="shared" si="8"/>
        <v>41</v>
      </c>
      <c r="BC13" s="267">
        <v>18</v>
      </c>
      <c r="BD13" s="267">
        <v>19</v>
      </c>
      <c r="BE13" s="267">
        <f t="shared" si="9"/>
        <v>37</v>
      </c>
      <c r="BG13" s="267">
        <v>18</v>
      </c>
      <c r="BH13" s="267">
        <v>19</v>
      </c>
      <c r="BI13" s="267">
        <f t="shared" si="10"/>
        <v>37</v>
      </c>
      <c r="BJ13" s="267" t="s">
        <v>1022</v>
      </c>
    </row>
    <row r="14" spans="1:62" s="267" customFormat="1" ht="18" customHeight="1" x14ac:dyDescent="0.2">
      <c r="A14" s="650">
        <v>1987</v>
      </c>
      <c r="B14" s="263" t="s">
        <v>2562</v>
      </c>
      <c r="C14" s="264">
        <v>10</v>
      </c>
      <c r="D14" s="264">
        <v>24</v>
      </c>
      <c r="E14" s="269">
        <f t="shared" si="11"/>
        <v>34</v>
      </c>
      <c r="F14" s="262" t="s">
        <v>4103</v>
      </c>
      <c r="G14" s="266">
        <v>22</v>
      </c>
      <c r="H14" s="264">
        <v>16</v>
      </c>
      <c r="I14" s="269">
        <f t="shared" si="12"/>
        <v>38</v>
      </c>
      <c r="J14" s="262" t="s">
        <v>4104</v>
      </c>
      <c r="K14" s="266">
        <v>13</v>
      </c>
      <c r="L14" s="264">
        <v>26</v>
      </c>
      <c r="M14" s="269">
        <f t="shared" si="13"/>
        <v>39</v>
      </c>
      <c r="N14" s="267" t="s">
        <v>1031</v>
      </c>
      <c r="O14" s="267">
        <v>23</v>
      </c>
      <c r="P14" s="267">
        <v>17</v>
      </c>
      <c r="Q14" s="269">
        <f t="shared" si="0"/>
        <v>40</v>
      </c>
      <c r="U14" s="267">
        <v>33</v>
      </c>
      <c r="V14" s="267">
        <v>15</v>
      </c>
      <c r="W14" s="267">
        <f t="shared" si="1"/>
        <v>48</v>
      </c>
      <c r="Y14" s="267">
        <v>14</v>
      </c>
      <c r="Z14" s="267">
        <v>30</v>
      </c>
      <c r="AA14" s="267">
        <f t="shared" si="2"/>
        <v>44</v>
      </c>
      <c r="AD14" s="267">
        <v>23</v>
      </c>
      <c r="AE14" s="267">
        <v>22</v>
      </c>
      <c r="AF14" s="267">
        <f t="shared" si="3"/>
        <v>45</v>
      </c>
      <c r="AH14" s="267">
        <v>22</v>
      </c>
      <c r="AI14" s="267">
        <v>22</v>
      </c>
      <c r="AJ14" s="267">
        <f t="shared" si="4"/>
        <v>44</v>
      </c>
      <c r="AK14" s="267" t="s">
        <v>2855</v>
      </c>
      <c r="AL14" s="267">
        <v>20</v>
      </c>
      <c r="AM14" s="267">
        <v>24</v>
      </c>
      <c r="AN14" s="267">
        <f t="shared" si="5"/>
        <v>44</v>
      </c>
      <c r="AO14" s="267" t="s">
        <v>1174</v>
      </c>
      <c r="AP14" s="267">
        <v>23</v>
      </c>
      <c r="AQ14" s="267">
        <v>17</v>
      </c>
      <c r="AR14" s="267">
        <f t="shared" si="6"/>
        <v>40</v>
      </c>
      <c r="AT14" s="267">
        <v>17</v>
      </c>
      <c r="AU14" s="267">
        <v>21</v>
      </c>
      <c r="AV14" s="267">
        <f t="shared" si="7"/>
        <v>38</v>
      </c>
      <c r="AY14" s="267">
        <v>27</v>
      </c>
      <c r="AZ14" s="266">
        <v>14</v>
      </c>
      <c r="BA14" s="267">
        <f t="shared" si="8"/>
        <v>41</v>
      </c>
      <c r="BB14" s="267" t="s">
        <v>1022</v>
      </c>
      <c r="BC14" s="267">
        <v>11</v>
      </c>
      <c r="BD14" s="267">
        <v>27</v>
      </c>
      <c r="BE14" s="267">
        <f t="shared" si="9"/>
        <v>38</v>
      </c>
      <c r="BG14" s="267">
        <v>20</v>
      </c>
      <c r="BH14" s="267">
        <v>25</v>
      </c>
      <c r="BI14" s="267">
        <f t="shared" si="10"/>
        <v>45</v>
      </c>
    </row>
    <row r="15" spans="1:62" s="267" customFormat="1" ht="18" customHeight="1" x14ac:dyDescent="0.2">
      <c r="A15" s="650">
        <v>1988</v>
      </c>
      <c r="B15" s="263" t="s">
        <v>2568</v>
      </c>
      <c r="C15" s="264">
        <v>10</v>
      </c>
      <c r="D15" s="264">
        <v>30</v>
      </c>
      <c r="E15" s="269">
        <f t="shared" si="11"/>
        <v>40</v>
      </c>
      <c r="F15" s="262" t="s">
        <v>2559</v>
      </c>
      <c r="G15" s="266">
        <v>16</v>
      </c>
      <c r="H15" s="264">
        <v>24</v>
      </c>
      <c r="I15" s="269">
        <f t="shared" si="12"/>
        <v>40</v>
      </c>
      <c r="J15" s="262" t="s">
        <v>4106</v>
      </c>
      <c r="K15" s="266">
        <v>17</v>
      </c>
      <c r="L15" s="264">
        <v>23</v>
      </c>
      <c r="M15" s="269">
        <f t="shared" si="13"/>
        <v>40</v>
      </c>
      <c r="N15" s="267" t="s">
        <v>4107</v>
      </c>
      <c r="O15" s="268">
        <v>14</v>
      </c>
      <c r="P15" s="268">
        <v>28</v>
      </c>
      <c r="Q15" s="269">
        <f t="shared" si="0"/>
        <v>42</v>
      </c>
      <c r="U15" s="267">
        <v>29</v>
      </c>
      <c r="V15" s="267">
        <v>20</v>
      </c>
      <c r="W15" s="267">
        <f t="shared" si="1"/>
        <v>49</v>
      </c>
      <c r="Y15" s="267">
        <v>21</v>
      </c>
      <c r="Z15" s="267">
        <v>25</v>
      </c>
      <c r="AA15" s="267">
        <f t="shared" si="2"/>
        <v>46</v>
      </c>
      <c r="AD15" s="267">
        <v>27</v>
      </c>
      <c r="AE15" s="266">
        <v>18</v>
      </c>
      <c r="AF15" s="267">
        <f t="shared" si="3"/>
        <v>45</v>
      </c>
      <c r="AH15" s="267">
        <v>11</v>
      </c>
      <c r="AI15" s="267">
        <v>36</v>
      </c>
      <c r="AJ15" s="267">
        <f t="shared" si="4"/>
        <v>47</v>
      </c>
      <c r="AK15" s="267" t="s">
        <v>189</v>
      </c>
      <c r="AL15" s="267">
        <v>23</v>
      </c>
      <c r="AM15" s="267">
        <v>22</v>
      </c>
      <c r="AN15" s="267">
        <f t="shared" si="5"/>
        <v>45</v>
      </c>
      <c r="AP15" s="267">
        <v>25</v>
      </c>
      <c r="AQ15" s="267">
        <v>15</v>
      </c>
      <c r="AR15" s="267">
        <f t="shared" si="6"/>
        <v>40</v>
      </c>
      <c r="AT15" s="267">
        <v>22</v>
      </c>
      <c r="AU15" s="267">
        <v>17</v>
      </c>
      <c r="AV15" s="267">
        <f t="shared" si="7"/>
        <v>39</v>
      </c>
      <c r="AY15" s="267">
        <v>25</v>
      </c>
      <c r="AZ15" s="267">
        <v>19</v>
      </c>
      <c r="BA15" s="267">
        <f t="shared" si="8"/>
        <v>44</v>
      </c>
      <c r="BB15" s="267" t="s">
        <v>4504</v>
      </c>
      <c r="BC15" s="267">
        <v>26</v>
      </c>
      <c r="BD15" s="266">
        <v>13</v>
      </c>
      <c r="BE15" s="267">
        <f t="shared" si="9"/>
        <v>39</v>
      </c>
      <c r="BG15" s="267">
        <v>21</v>
      </c>
      <c r="BH15" s="266">
        <v>23</v>
      </c>
      <c r="BI15" s="267">
        <f t="shared" si="10"/>
        <v>44</v>
      </c>
    </row>
    <row r="16" spans="1:62" s="267" customFormat="1" ht="18" customHeight="1" x14ac:dyDescent="0.2">
      <c r="A16" s="650">
        <v>1989</v>
      </c>
      <c r="B16" s="263" t="s">
        <v>4455</v>
      </c>
      <c r="C16" s="264">
        <v>11</v>
      </c>
      <c r="D16" s="264">
        <v>22</v>
      </c>
      <c r="E16" s="269">
        <f t="shared" si="11"/>
        <v>33</v>
      </c>
      <c r="F16" s="262" t="s">
        <v>4454</v>
      </c>
      <c r="G16" s="266">
        <v>12</v>
      </c>
      <c r="H16" s="264">
        <v>21</v>
      </c>
      <c r="I16" s="269">
        <f t="shared" si="12"/>
        <v>33</v>
      </c>
      <c r="J16" s="262" t="s">
        <v>4108</v>
      </c>
      <c r="K16" s="266">
        <v>9</v>
      </c>
      <c r="L16" s="264">
        <v>31</v>
      </c>
      <c r="M16" s="269">
        <f t="shared" si="13"/>
        <v>40</v>
      </c>
      <c r="N16" s="267" t="s">
        <v>4109</v>
      </c>
      <c r="O16" s="267">
        <v>16</v>
      </c>
      <c r="P16" s="267">
        <v>27</v>
      </c>
      <c r="Q16" s="269">
        <f t="shared" si="0"/>
        <v>43</v>
      </c>
      <c r="U16" s="267">
        <v>27</v>
      </c>
      <c r="V16" s="267">
        <v>24</v>
      </c>
      <c r="W16" s="267">
        <f t="shared" si="1"/>
        <v>51</v>
      </c>
      <c r="Y16" s="267">
        <v>29</v>
      </c>
      <c r="Z16" s="267">
        <v>17</v>
      </c>
      <c r="AA16" s="267">
        <f t="shared" si="2"/>
        <v>46</v>
      </c>
      <c r="AD16" s="267">
        <v>1</v>
      </c>
      <c r="AE16" s="267">
        <v>45</v>
      </c>
      <c r="AF16" s="267">
        <f t="shared" si="3"/>
        <v>46</v>
      </c>
      <c r="AH16" s="267">
        <v>27</v>
      </c>
      <c r="AI16" s="285">
        <v>21</v>
      </c>
      <c r="AJ16" s="267">
        <f t="shared" si="4"/>
        <v>48</v>
      </c>
      <c r="AK16" s="267" t="s">
        <v>861</v>
      </c>
      <c r="AL16" s="267">
        <v>13</v>
      </c>
      <c r="AM16" s="266">
        <v>33</v>
      </c>
      <c r="AN16" s="267">
        <f t="shared" si="5"/>
        <v>46</v>
      </c>
      <c r="AP16" s="267">
        <v>12</v>
      </c>
      <c r="AQ16" s="267">
        <v>31</v>
      </c>
      <c r="AR16" s="267">
        <f t="shared" si="6"/>
        <v>43</v>
      </c>
      <c r="AT16" s="267">
        <v>28</v>
      </c>
      <c r="AU16" s="267">
        <v>11</v>
      </c>
      <c r="AV16" s="267">
        <f t="shared" si="7"/>
        <v>39</v>
      </c>
      <c r="AY16" s="267">
        <v>23</v>
      </c>
      <c r="AZ16" s="267">
        <v>22</v>
      </c>
      <c r="BA16" s="267">
        <f t="shared" si="8"/>
        <v>45</v>
      </c>
      <c r="BC16" s="267">
        <v>21</v>
      </c>
      <c r="BD16" s="267">
        <v>20</v>
      </c>
      <c r="BE16" s="267">
        <f t="shared" si="9"/>
        <v>41</v>
      </c>
      <c r="BG16" s="267">
        <v>23</v>
      </c>
      <c r="BH16" s="267">
        <v>14</v>
      </c>
      <c r="BI16" s="267">
        <f t="shared" si="10"/>
        <v>37</v>
      </c>
    </row>
    <row r="17" spans="1:61" s="267" customFormat="1" ht="18" customHeight="1" x14ac:dyDescent="0.2">
      <c r="A17" s="650">
        <v>1990</v>
      </c>
      <c r="B17" s="263" t="s">
        <v>4454</v>
      </c>
      <c r="C17" s="264">
        <v>14</v>
      </c>
      <c r="D17" s="264">
        <v>16</v>
      </c>
      <c r="E17" s="269">
        <f t="shared" si="11"/>
        <v>30</v>
      </c>
      <c r="F17" s="262" t="s">
        <v>4110</v>
      </c>
      <c r="G17" s="266">
        <v>20</v>
      </c>
      <c r="H17" s="264">
        <v>15</v>
      </c>
      <c r="I17" s="269">
        <f t="shared" si="12"/>
        <v>35</v>
      </c>
      <c r="J17" s="262" t="s">
        <v>4111</v>
      </c>
      <c r="K17" s="266">
        <v>18</v>
      </c>
      <c r="L17" s="264">
        <v>18</v>
      </c>
      <c r="M17" s="269">
        <f t="shared" si="13"/>
        <v>36</v>
      </c>
      <c r="N17" s="267" t="s">
        <v>4112</v>
      </c>
      <c r="O17" s="267">
        <v>11</v>
      </c>
      <c r="P17" s="267">
        <v>28</v>
      </c>
      <c r="Q17" s="269">
        <f t="shared" si="0"/>
        <v>39</v>
      </c>
      <c r="U17" s="267">
        <v>40</v>
      </c>
      <c r="V17" s="267">
        <v>12</v>
      </c>
      <c r="W17" s="267">
        <f t="shared" si="1"/>
        <v>52</v>
      </c>
      <c r="Y17" s="267">
        <v>31</v>
      </c>
      <c r="Z17" s="285">
        <v>15</v>
      </c>
      <c r="AA17" s="267">
        <f t="shared" si="2"/>
        <v>46</v>
      </c>
      <c r="AD17" s="267">
        <v>13</v>
      </c>
      <c r="AE17" s="267">
        <v>33</v>
      </c>
      <c r="AF17" s="267">
        <f t="shared" si="3"/>
        <v>46</v>
      </c>
      <c r="AH17" s="267">
        <v>16</v>
      </c>
      <c r="AI17" s="267">
        <v>33</v>
      </c>
      <c r="AJ17" s="267">
        <f t="shared" si="4"/>
        <v>49</v>
      </c>
      <c r="AK17" s="267" t="s">
        <v>319</v>
      </c>
      <c r="AL17" s="267">
        <v>26</v>
      </c>
      <c r="AM17" s="267">
        <v>20</v>
      </c>
      <c r="AN17" s="267">
        <f t="shared" si="5"/>
        <v>46</v>
      </c>
      <c r="AP17" s="267">
        <v>19</v>
      </c>
      <c r="AQ17" s="267">
        <v>26</v>
      </c>
      <c r="AR17" s="267">
        <f t="shared" si="6"/>
        <v>45</v>
      </c>
      <c r="AT17" s="267">
        <v>10</v>
      </c>
      <c r="AU17" s="267">
        <v>30</v>
      </c>
      <c r="AV17" s="267">
        <f t="shared" si="7"/>
        <v>40</v>
      </c>
      <c r="AY17" s="267">
        <v>29</v>
      </c>
      <c r="AZ17" s="267">
        <v>16</v>
      </c>
      <c r="BA17" s="267">
        <f t="shared" si="8"/>
        <v>45</v>
      </c>
      <c r="BC17" s="267">
        <v>9</v>
      </c>
      <c r="BD17" s="267">
        <v>35</v>
      </c>
      <c r="BE17" s="267">
        <f t="shared" si="9"/>
        <v>44</v>
      </c>
      <c r="BG17" s="267">
        <v>26</v>
      </c>
      <c r="BH17" s="267">
        <v>24</v>
      </c>
      <c r="BI17" s="267">
        <f t="shared" si="10"/>
        <v>50</v>
      </c>
    </row>
    <row r="18" spans="1:61" s="267" customFormat="1" ht="18" customHeight="1" x14ac:dyDescent="0.2">
      <c r="A18" s="650">
        <v>1991</v>
      </c>
      <c r="B18" s="262" t="s">
        <v>4113</v>
      </c>
      <c r="C18" s="266">
        <v>9</v>
      </c>
      <c r="D18" s="266">
        <v>27</v>
      </c>
      <c r="E18" s="269">
        <f t="shared" si="11"/>
        <v>36</v>
      </c>
      <c r="F18" s="262" t="s">
        <v>4101</v>
      </c>
      <c r="G18" s="266">
        <v>12</v>
      </c>
      <c r="H18" s="266">
        <v>28</v>
      </c>
      <c r="I18" s="269">
        <f t="shared" si="12"/>
        <v>40</v>
      </c>
      <c r="J18" s="262" t="s">
        <v>3658</v>
      </c>
      <c r="K18" s="266">
        <v>15</v>
      </c>
      <c r="L18" s="266">
        <v>29</v>
      </c>
      <c r="M18" s="269">
        <f t="shared" si="13"/>
        <v>44</v>
      </c>
      <c r="N18" s="267" t="s">
        <v>3</v>
      </c>
      <c r="O18" s="267">
        <v>16</v>
      </c>
      <c r="P18" s="267">
        <v>28</v>
      </c>
      <c r="Q18" s="269">
        <f t="shared" si="0"/>
        <v>44</v>
      </c>
      <c r="U18" s="267">
        <v>35</v>
      </c>
      <c r="V18" s="267">
        <v>17</v>
      </c>
      <c r="W18" s="267">
        <f t="shared" si="1"/>
        <v>52</v>
      </c>
      <c r="Y18" s="267">
        <v>5</v>
      </c>
      <c r="Z18" s="267">
        <v>42</v>
      </c>
      <c r="AA18" s="267">
        <f t="shared" si="2"/>
        <v>47</v>
      </c>
      <c r="AD18" s="267">
        <v>26</v>
      </c>
      <c r="AE18" s="266">
        <v>20</v>
      </c>
      <c r="AF18" s="267">
        <f t="shared" si="3"/>
        <v>46</v>
      </c>
      <c r="AH18" s="267">
        <v>21</v>
      </c>
      <c r="AI18" s="267">
        <v>28</v>
      </c>
      <c r="AJ18" s="267">
        <f t="shared" si="4"/>
        <v>49</v>
      </c>
      <c r="AL18" s="267">
        <v>17</v>
      </c>
      <c r="AM18" s="267">
        <v>31</v>
      </c>
      <c r="AN18" s="267">
        <f t="shared" si="5"/>
        <v>48</v>
      </c>
      <c r="AP18" s="267">
        <v>15</v>
      </c>
      <c r="AQ18" s="267">
        <v>32</v>
      </c>
      <c r="AR18" s="267">
        <f t="shared" si="6"/>
        <v>47</v>
      </c>
      <c r="AS18" s="267" t="s">
        <v>1174</v>
      </c>
      <c r="AT18" s="267">
        <v>15</v>
      </c>
      <c r="AU18" s="266">
        <v>26</v>
      </c>
      <c r="AV18" s="267">
        <f t="shared" si="7"/>
        <v>41</v>
      </c>
      <c r="AY18" s="267">
        <v>4</v>
      </c>
      <c r="AZ18" s="267">
        <v>42</v>
      </c>
      <c r="BA18" s="267">
        <f t="shared" si="8"/>
        <v>46</v>
      </c>
      <c r="BC18" s="267">
        <v>4</v>
      </c>
      <c r="BD18" s="267">
        <v>41</v>
      </c>
      <c r="BE18" s="267">
        <f t="shared" si="9"/>
        <v>45</v>
      </c>
      <c r="BG18" s="267">
        <v>28</v>
      </c>
      <c r="BH18" s="267">
        <v>12</v>
      </c>
      <c r="BI18" s="267">
        <f t="shared" si="10"/>
        <v>40</v>
      </c>
    </row>
    <row r="19" spans="1:61" s="267" customFormat="1" ht="18" customHeight="1" x14ac:dyDescent="0.2">
      <c r="A19" s="650">
        <v>1992</v>
      </c>
      <c r="B19" s="262" t="s">
        <v>4114</v>
      </c>
      <c r="C19" s="266">
        <v>16</v>
      </c>
      <c r="D19" s="266">
        <v>17</v>
      </c>
      <c r="E19" s="269">
        <f t="shared" si="11"/>
        <v>33</v>
      </c>
      <c r="F19" s="262" t="s">
        <v>2560</v>
      </c>
      <c r="G19" s="266">
        <v>10</v>
      </c>
      <c r="H19" s="266">
        <v>29</v>
      </c>
      <c r="I19" s="269">
        <f t="shared" si="12"/>
        <v>39</v>
      </c>
      <c r="J19" s="262" t="s">
        <v>4115</v>
      </c>
      <c r="K19" s="266">
        <v>15</v>
      </c>
      <c r="L19" s="266">
        <v>25</v>
      </c>
      <c r="M19" s="269">
        <f t="shared" si="13"/>
        <v>40</v>
      </c>
      <c r="N19" s="267" t="s">
        <v>4116</v>
      </c>
      <c r="O19" s="268">
        <v>11</v>
      </c>
      <c r="P19" s="268">
        <v>30</v>
      </c>
      <c r="Q19" s="269">
        <f t="shared" si="0"/>
        <v>41</v>
      </c>
      <c r="U19" s="267">
        <v>29</v>
      </c>
      <c r="V19" s="267">
        <v>23</v>
      </c>
      <c r="W19" s="267">
        <f t="shared" si="1"/>
        <v>52</v>
      </c>
      <c r="Y19" s="267">
        <v>18</v>
      </c>
      <c r="Z19" s="267">
        <v>29</v>
      </c>
      <c r="AA19" s="267">
        <f t="shared" si="2"/>
        <v>47</v>
      </c>
      <c r="AD19" s="267">
        <v>34</v>
      </c>
      <c r="AE19" s="267">
        <v>12</v>
      </c>
      <c r="AF19" s="267">
        <f t="shared" si="3"/>
        <v>46</v>
      </c>
      <c r="AH19" s="267">
        <v>25</v>
      </c>
      <c r="AI19" s="267">
        <v>24</v>
      </c>
      <c r="AJ19" s="267">
        <f t="shared" si="4"/>
        <v>49</v>
      </c>
      <c r="AL19" s="267">
        <v>33</v>
      </c>
      <c r="AM19" s="267">
        <v>15</v>
      </c>
      <c r="AN19" s="267">
        <f t="shared" si="5"/>
        <v>48</v>
      </c>
      <c r="AP19" s="267">
        <v>22</v>
      </c>
      <c r="AQ19" s="267">
        <v>25</v>
      </c>
      <c r="AR19" s="267">
        <f t="shared" si="6"/>
        <v>47</v>
      </c>
      <c r="AT19" s="267">
        <v>16</v>
      </c>
      <c r="AU19" s="267">
        <v>25</v>
      </c>
      <c r="AV19" s="267">
        <f t="shared" si="7"/>
        <v>41</v>
      </c>
      <c r="AY19" s="267">
        <v>26</v>
      </c>
      <c r="AZ19" s="267">
        <v>21</v>
      </c>
      <c r="BA19" s="267">
        <f t="shared" si="8"/>
        <v>47</v>
      </c>
      <c r="BC19" s="267">
        <v>13</v>
      </c>
      <c r="BD19" s="267">
        <v>32</v>
      </c>
      <c r="BE19" s="267">
        <f t="shared" si="9"/>
        <v>45</v>
      </c>
      <c r="BG19" s="267">
        <v>29</v>
      </c>
      <c r="BH19" s="267">
        <v>22</v>
      </c>
      <c r="BI19" s="267">
        <f t="shared" si="10"/>
        <v>51</v>
      </c>
    </row>
    <row r="20" spans="1:61" s="267" customFormat="1" ht="18" customHeight="1" x14ac:dyDescent="0.2">
      <c r="A20" s="650">
        <v>1993</v>
      </c>
      <c r="B20" s="262" t="s">
        <v>2560</v>
      </c>
      <c r="C20" s="266">
        <v>7</v>
      </c>
      <c r="D20" s="266">
        <v>25</v>
      </c>
      <c r="E20" s="269">
        <f t="shared" si="11"/>
        <v>32</v>
      </c>
      <c r="F20" s="262" t="s">
        <v>4111</v>
      </c>
      <c r="G20" s="266">
        <v>14</v>
      </c>
      <c r="H20" s="266">
        <v>24</v>
      </c>
      <c r="I20" s="269">
        <f t="shared" si="12"/>
        <v>38</v>
      </c>
      <c r="J20" s="262" t="s">
        <v>4116</v>
      </c>
      <c r="K20" s="266">
        <v>15</v>
      </c>
      <c r="L20" s="266">
        <v>31</v>
      </c>
      <c r="M20" s="269">
        <f t="shared" si="13"/>
        <v>46</v>
      </c>
      <c r="N20" s="267" t="s">
        <v>4507</v>
      </c>
      <c r="O20" s="267">
        <v>14</v>
      </c>
      <c r="P20" s="267">
        <v>15</v>
      </c>
      <c r="Q20" s="269">
        <f t="shared" si="0"/>
        <v>29</v>
      </c>
      <c r="U20" s="267">
        <v>33</v>
      </c>
      <c r="V20" s="267">
        <v>21</v>
      </c>
      <c r="W20" s="267">
        <f t="shared" si="1"/>
        <v>54</v>
      </c>
      <c r="Y20" s="267">
        <v>25</v>
      </c>
      <c r="Z20" s="267">
        <v>22</v>
      </c>
      <c r="AA20" s="267">
        <f t="shared" si="2"/>
        <v>47</v>
      </c>
      <c r="AD20" s="267">
        <v>9</v>
      </c>
      <c r="AE20" s="267">
        <v>38</v>
      </c>
      <c r="AF20" s="267">
        <f t="shared" si="3"/>
        <v>47</v>
      </c>
      <c r="AH20" s="267">
        <v>29</v>
      </c>
      <c r="AI20" s="267">
        <v>21</v>
      </c>
      <c r="AJ20" s="267">
        <f t="shared" si="4"/>
        <v>50</v>
      </c>
      <c r="AL20" s="267">
        <v>29</v>
      </c>
      <c r="AM20" s="267">
        <v>20</v>
      </c>
      <c r="AN20" s="267">
        <f t="shared" si="5"/>
        <v>49</v>
      </c>
      <c r="AP20" s="267">
        <v>21</v>
      </c>
      <c r="AQ20" s="267">
        <v>27</v>
      </c>
      <c r="AR20" s="267">
        <f t="shared" si="6"/>
        <v>48</v>
      </c>
      <c r="AT20" s="267">
        <v>8</v>
      </c>
      <c r="AU20" s="267">
        <v>35</v>
      </c>
      <c r="AV20" s="267">
        <f t="shared" si="7"/>
        <v>43</v>
      </c>
      <c r="AY20" s="267">
        <v>8</v>
      </c>
      <c r="AZ20" s="267">
        <v>40</v>
      </c>
      <c r="BA20" s="267">
        <f t="shared" si="8"/>
        <v>48</v>
      </c>
      <c r="BC20" s="267">
        <v>15</v>
      </c>
      <c r="BD20" s="267">
        <v>32</v>
      </c>
      <c r="BE20" s="267">
        <f t="shared" si="9"/>
        <v>47</v>
      </c>
      <c r="BG20" s="267">
        <v>30</v>
      </c>
      <c r="BH20" s="267">
        <v>16</v>
      </c>
      <c r="BI20" s="267">
        <f t="shared" si="10"/>
        <v>46</v>
      </c>
    </row>
    <row r="21" spans="1:61" s="267" customFormat="1" ht="18" customHeight="1" x14ac:dyDescent="0.2">
      <c r="A21" s="650">
        <v>1994</v>
      </c>
      <c r="B21" s="262" t="s">
        <v>4117</v>
      </c>
      <c r="C21" s="266">
        <v>2</v>
      </c>
      <c r="D21" s="266">
        <v>19</v>
      </c>
      <c r="E21" s="269">
        <f t="shared" si="11"/>
        <v>21</v>
      </c>
      <c r="F21" s="262" t="s">
        <v>4118</v>
      </c>
      <c r="G21" s="266">
        <v>17</v>
      </c>
      <c r="H21" s="266">
        <v>18</v>
      </c>
      <c r="I21" s="269">
        <f t="shared" si="12"/>
        <v>35</v>
      </c>
      <c r="J21" s="262" t="s">
        <v>4119</v>
      </c>
      <c r="K21" s="266">
        <v>16</v>
      </c>
      <c r="L21" s="266">
        <v>21</v>
      </c>
      <c r="M21" s="269">
        <f t="shared" si="13"/>
        <v>37</v>
      </c>
      <c r="N21" s="267" t="s">
        <v>4120</v>
      </c>
      <c r="O21" s="267">
        <v>9</v>
      </c>
      <c r="P21" s="267">
        <v>31</v>
      </c>
      <c r="Q21" s="269">
        <f t="shared" si="0"/>
        <v>40</v>
      </c>
      <c r="U21" s="267">
        <v>38</v>
      </c>
      <c r="V21" s="267">
        <v>21</v>
      </c>
      <c r="W21" s="267">
        <f t="shared" si="1"/>
        <v>59</v>
      </c>
      <c r="Y21" s="267">
        <v>15</v>
      </c>
      <c r="Z21" s="267">
        <v>34</v>
      </c>
      <c r="AA21" s="267">
        <f t="shared" si="2"/>
        <v>49</v>
      </c>
      <c r="AD21" s="267">
        <v>22</v>
      </c>
      <c r="AE21" s="267">
        <v>26</v>
      </c>
      <c r="AF21" s="267">
        <f t="shared" si="3"/>
        <v>48</v>
      </c>
      <c r="AH21" s="267">
        <v>34</v>
      </c>
      <c r="AI21" s="267">
        <v>18</v>
      </c>
      <c r="AJ21" s="267">
        <f t="shared" si="4"/>
        <v>52</v>
      </c>
      <c r="AL21" s="267">
        <v>16</v>
      </c>
      <c r="AM21" s="267">
        <v>34</v>
      </c>
      <c r="AN21" s="267">
        <f t="shared" si="5"/>
        <v>50</v>
      </c>
      <c r="AP21" s="267">
        <v>32</v>
      </c>
      <c r="AQ21" s="266">
        <v>16</v>
      </c>
      <c r="AR21" s="267">
        <f t="shared" si="6"/>
        <v>48</v>
      </c>
      <c r="AT21" s="267">
        <v>4</v>
      </c>
      <c r="AU21" s="267">
        <v>41</v>
      </c>
      <c r="AV21" s="267">
        <f t="shared" si="7"/>
        <v>45</v>
      </c>
      <c r="AY21" s="267">
        <v>32</v>
      </c>
      <c r="AZ21" s="267">
        <v>17</v>
      </c>
      <c r="BA21" s="267">
        <f t="shared" si="8"/>
        <v>49</v>
      </c>
      <c r="BC21" s="267">
        <v>27</v>
      </c>
      <c r="BD21" s="267">
        <v>22</v>
      </c>
      <c r="BE21" s="267">
        <f t="shared" si="9"/>
        <v>49</v>
      </c>
      <c r="BG21" s="267">
        <v>31</v>
      </c>
      <c r="BH21" s="267">
        <v>21</v>
      </c>
      <c r="BI21" s="267">
        <f t="shared" si="10"/>
        <v>52</v>
      </c>
    </row>
    <row r="22" spans="1:61" s="267" customFormat="1" ht="18" customHeight="1" x14ac:dyDescent="0.2">
      <c r="A22" s="650">
        <v>1995</v>
      </c>
      <c r="B22" s="262" t="s">
        <v>4121</v>
      </c>
      <c r="C22" s="266">
        <v>5</v>
      </c>
      <c r="D22" s="266">
        <v>21</v>
      </c>
      <c r="E22" s="269">
        <f t="shared" si="11"/>
        <v>26</v>
      </c>
      <c r="F22" s="262" t="s">
        <v>4122</v>
      </c>
      <c r="G22" s="266">
        <v>11</v>
      </c>
      <c r="H22" s="266">
        <v>25</v>
      </c>
      <c r="I22" s="269">
        <f t="shared" si="12"/>
        <v>36</v>
      </c>
      <c r="J22" s="262" t="s">
        <v>4123</v>
      </c>
      <c r="K22" s="266">
        <v>16</v>
      </c>
      <c r="L22" s="266">
        <v>21</v>
      </c>
      <c r="M22" s="269">
        <f t="shared" si="13"/>
        <v>37</v>
      </c>
      <c r="N22" s="267" t="s">
        <v>3</v>
      </c>
      <c r="O22" s="267">
        <v>12</v>
      </c>
      <c r="P22" s="267">
        <v>26</v>
      </c>
      <c r="Q22" s="269">
        <f t="shared" si="0"/>
        <v>38</v>
      </c>
      <c r="U22" s="267">
        <v>44</v>
      </c>
      <c r="V22" s="267">
        <v>16</v>
      </c>
      <c r="W22" s="267">
        <f t="shared" si="1"/>
        <v>60</v>
      </c>
      <c r="Y22" s="267">
        <v>30</v>
      </c>
      <c r="Z22" s="267">
        <v>19</v>
      </c>
      <c r="AA22" s="267">
        <f t="shared" si="2"/>
        <v>49</v>
      </c>
      <c r="AD22" s="267">
        <v>2</v>
      </c>
      <c r="AE22" s="267">
        <v>47</v>
      </c>
      <c r="AF22" s="267">
        <f t="shared" si="3"/>
        <v>49</v>
      </c>
      <c r="AH22" s="267">
        <v>35</v>
      </c>
      <c r="AI22" s="267">
        <v>17</v>
      </c>
      <c r="AJ22" s="267">
        <f t="shared" si="4"/>
        <v>52</v>
      </c>
      <c r="AL22" s="267">
        <v>19</v>
      </c>
      <c r="AM22" s="267">
        <v>31</v>
      </c>
      <c r="AN22" s="267">
        <f t="shared" si="5"/>
        <v>50</v>
      </c>
      <c r="AP22" s="267">
        <v>24</v>
      </c>
      <c r="AQ22" s="267">
        <v>25</v>
      </c>
      <c r="AR22" s="267">
        <f t="shared" si="6"/>
        <v>49</v>
      </c>
      <c r="AT22" s="267">
        <v>20</v>
      </c>
      <c r="AU22" s="267">
        <v>26</v>
      </c>
      <c r="AV22" s="267">
        <f t="shared" si="7"/>
        <v>46</v>
      </c>
      <c r="AY22" s="267">
        <v>20</v>
      </c>
      <c r="AZ22" s="267">
        <v>30</v>
      </c>
      <c r="BA22" s="267">
        <f t="shared" si="8"/>
        <v>50</v>
      </c>
      <c r="BC22" s="267">
        <v>33</v>
      </c>
      <c r="BD22" s="267">
        <v>16</v>
      </c>
      <c r="BE22" s="267">
        <f t="shared" si="9"/>
        <v>49</v>
      </c>
      <c r="BG22" s="267">
        <v>33</v>
      </c>
      <c r="BH22" s="267">
        <v>18</v>
      </c>
      <c r="BI22" s="267">
        <f t="shared" si="10"/>
        <v>51</v>
      </c>
    </row>
    <row r="23" spans="1:61" s="267" customFormat="1" ht="18" customHeight="1" x14ac:dyDescent="0.2">
      <c r="A23" s="650">
        <v>1996</v>
      </c>
      <c r="B23" s="262" t="s">
        <v>4124</v>
      </c>
      <c r="C23" s="266">
        <v>4</v>
      </c>
      <c r="D23" s="266">
        <v>21</v>
      </c>
      <c r="E23" s="269">
        <f t="shared" si="11"/>
        <v>25</v>
      </c>
      <c r="F23" s="262" t="s">
        <v>4412</v>
      </c>
      <c r="G23" s="266">
        <v>17</v>
      </c>
      <c r="H23" s="266">
        <v>19</v>
      </c>
      <c r="I23" s="269">
        <f t="shared" si="12"/>
        <v>36</v>
      </c>
      <c r="J23" s="262" t="s">
        <v>4461</v>
      </c>
      <c r="K23" s="266">
        <v>14</v>
      </c>
      <c r="L23" s="266">
        <v>23</v>
      </c>
      <c r="M23" s="269">
        <f t="shared" si="13"/>
        <v>37</v>
      </c>
      <c r="N23" s="267" t="s">
        <v>4123</v>
      </c>
      <c r="O23" s="267">
        <v>18</v>
      </c>
      <c r="P23" s="267">
        <v>19</v>
      </c>
      <c r="Q23" s="269">
        <f t="shared" si="0"/>
        <v>37</v>
      </c>
      <c r="U23" s="267">
        <v>36</v>
      </c>
      <c r="V23" s="267">
        <v>24</v>
      </c>
      <c r="W23" s="267">
        <f t="shared" si="1"/>
        <v>60</v>
      </c>
      <c r="Y23" s="267">
        <v>2</v>
      </c>
      <c r="Z23" s="267">
        <v>48</v>
      </c>
      <c r="AA23" s="267">
        <f t="shared" si="2"/>
        <v>50</v>
      </c>
      <c r="AD23" s="267">
        <v>19</v>
      </c>
      <c r="AE23" s="267">
        <v>31</v>
      </c>
      <c r="AF23" s="267">
        <f t="shared" si="3"/>
        <v>50</v>
      </c>
      <c r="AH23" s="267">
        <v>18</v>
      </c>
      <c r="AI23" s="267">
        <v>35</v>
      </c>
      <c r="AJ23" s="267">
        <f t="shared" si="4"/>
        <v>53</v>
      </c>
      <c r="AL23" s="267">
        <v>27</v>
      </c>
      <c r="AM23" s="267">
        <v>24</v>
      </c>
      <c r="AN23" s="267">
        <f t="shared" si="5"/>
        <v>51</v>
      </c>
      <c r="AP23" s="267">
        <v>26</v>
      </c>
      <c r="AQ23" s="267">
        <v>23</v>
      </c>
      <c r="AR23" s="267">
        <f t="shared" si="6"/>
        <v>49</v>
      </c>
      <c r="AT23" s="267">
        <v>25</v>
      </c>
      <c r="AU23" s="267">
        <v>23</v>
      </c>
      <c r="AV23" s="267">
        <f t="shared" si="7"/>
        <v>48</v>
      </c>
      <c r="AY23" s="267">
        <v>24</v>
      </c>
      <c r="AZ23" s="267">
        <v>26</v>
      </c>
      <c r="BA23" s="267">
        <f t="shared" si="8"/>
        <v>50</v>
      </c>
      <c r="BC23" s="267">
        <v>10</v>
      </c>
      <c r="BD23" s="267">
        <v>40</v>
      </c>
      <c r="BE23" s="267">
        <f t="shared" si="9"/>
        <v>50</v>
      </c>
      <c r="BG23" s="267">
        <v>34</v>
      </c>
      <c r="BH23" s="267">
        <v>16</v>
      </c>
      <c r="BI23" s="267">
        <f t="shared" si="10"/>
        <v>50</v>
      </c>
    </row>
    <row r="24" spans="1:61" s="267" customFormat="1" ht="18" customHeight="1" x14ac:dyDescent="0.2">
      <c r="A24" s="650">
        <v>1997</v>
      </c>
      <c r="B24" s="262" t="s">
        <v>4126</v>
      </c>
      <c r="C24" s="266">
        <v>2</v>
      </c>
      <c r="D24" s="266">
        <v>24</v>
      </c>
      <c r="E24" s="269">
        <f t="shared" si="11"/>
        <v>26</v>
      </c>
      <c r="F24" s="262" t="s">
        <v>319</v>
      </c>
      <c r="G24" s="266">
        <v>12</v>
      </c>
      <c r="H24" s="266">
        <v>22</v>
      </c>
      <c r="I24" s="269">
        <f t="shared" si="12"/>
        <v>34</v>
      </c>
      <c r="J24" s="262" t="s">
        <v>4105</v>
      </c>
      <c r="K24" s="266">
        <v>20</v>
      </c>
      <c r="L24" s="266">
        <v>15</v>
      </c>
      <c r="M24" s="269">
        <f t="shared" si="13"/>
        <v>35</v>
      </c>
      <c r="N24" s="267" t="s">
        <v>4505</v>
      </c>
      <c r="O24" s="267">
        <v>5</v>
      </c>
      <c r="P24" s="267">
        <v>34</v>
      </c>
      <c r="Q24" s="269">
        <f t="shared" si="0"/>
        <v>39</v>
      </c>
      <c r="U24" s="267">
        <v>43</v>
      </c>
      <c r="V24" s="267">
        <v>19</v>
      </c>
      <c r="W24" s="267">
        <f t="shared" si="1"/>
        <v>62</v>
      </c>
      <c r="Y24" s="267">
        <v>12</v>
      </c>
      <c r="Z24" s="267">
        <v>38</v>
      </c>
      <c r="AA24" s="267">
        <f t="shared" si="2"/>
        <v>50</v>
      </c>
      <c r="AD24" s="267">
        <v>30</v>
      </c>
      <c r="AE24" s="267">
        <v>20</v>
      </c>
      <c r="AF24" s="267">
        <f t="shared" si="3"/>
        <v>50</v>
      </c>
      <c r="AH24" s="267">
        <v>24</v>
      </c>
      <c r="AI24" s="267">
        <v>29</v>
      </c>
      <c r="AJ24" s="267">
        <f t="shared" si="4"/>
        <v>53</v>
      </c>
      <c r="AL24" s="267">
        <v>35</v>
      </c>
      <c r="AM24" s="267">
        <v>17</v>
      </c>
      <c r="AN24" s="267">
        <f t="shared" si="5"/>
        <v>52</v>
      </c>
      <c r="AP24" s="267">
        <v>30</v>
      </c>
      <c r="AQ24" s="267">
        <v>20</v>
      </c>
      <c r="AR24" s="267">
        <f t="shared" si="6"/>
        <v>50</v>
      </c>
      <c r="AT24" s="267">
        <v>18</v>
      </c>
      <c r="AU24" s="267">
        <v>31</v>
      </c>
      <c r="AV24" s="267">
        <f t="shared" si="7"/>
        <v>49</v>
      </c>
      <c r="AY24" s="267">
        <v>30</v>
      </c>
      <c r="AZ24" s="267">
        <v>20</v>
      </c>
      <c r="BA24" s="267">
        <f t="shared" si="8"/>
        <v>50</v>
      </c>
      <c r="BC24" s="267">
        <v>19</v>
      </c>
      <c r="BD24" s="267">
        <v>31</v>
      </c>
      <c r="BE24" s="267">
        <f t="shared" si="9"/>
        <v>50</v>
      </c>
      <c r="BG24" s="267">
        <v>35</v>
      </c>
      <c r="BH24" s="267">
        <v>19</v>
      </c>
      <c r="BI24" s="267">
        <f t="shared" si="10"/>
        <v>54</v>
      </c>
    </row>
    <row r="25" spans="1:61" s="267" customFormat="1" ht="18" customHeight="1" x14ac:dyDescent="0.2">
      <c r="A25" s="650">
        <v>1998</v>
      </c>
      <c r="B25" s="262" t="s">
        <v>4128</v>
      </c>
      <c r="C25" s="266">
        <v>12</v>
      </c>
      <c r="D25" s="266">
        <v>26</v>
      </c>
      <c r="E25" s="269">
        <f t="shared" si="11"/>
        <v>38</v>
      </c>
      <c r="F25" s="262" t="s">
        <v>4114</v>
      </c>
      <c r="G25" s="266">
        <v>2</v>
      </c>
      <c r="H25" s="266">
        <v>23</v>
      </c>
      <c r="I25" s="269">
        <f t="shared" si="12"/>
        <v>25</v>
      </c>
      <c r="J25" s="262" t="s">
        <v>4129</v>
      </c>
      <c r="K25" s="266">
        <v>14</v>
      </c>
      <c r="L25" s="266">
        <v>25</v>
      </c>
      <c r="M25" s="269">
        <f t="shared" si="13"/>
        <v>39</v>
      </c>
      <c r="N25" s="267" t="s">
        <v>4459</v>
      </c>
      <c r="O25" s="267">
        <v>20</v>
      </c>
      <c r="P25" s="267">
        <v>21</v>
      </c>
      <c r="Q25" s="269">
        <f t="shared" si="0"/>
        <v>41</v>
      </c>
      <c r="U25" s="267">
        <v>46</v>
      </c>
      <c r="V25" s="267">
        <v>18</v>
      </c>
      <c r="W25" s="267">
        <f t="shared" si="1"/>
        <v>64</v>
      </c>
      <c r="Y25" s="267">
        <v>13</v>
      </c>
      <c r="Z25" s="267">
        <v>37</v>
      </c>
      <c r="AA25" s="267">
        <f t="shared" si="2"/>
        <v>50</v>
      </c>
      <c r="AD25" s="267">
        <v>4</v>
      </c>
      <c r="AE25" s="267">
        <v>47</v>
      </c>
      <c r="AF25" s="267">
        <f t="shared" si="3"/>
        <v>51</v>
      </c>
      <c r="AH25" s="267">
        <v>8</v>
      </c>
      <c r="AI25" s="267">
        <v>46</v>
      </c>
      <c r="AJ25" s="267">
        <f t="shared" si="4"/>
        <v>54</v>
      </c>
      <c r="AL25" s="267">
        <v>40</v>
      </c>
      <c r="AM25" s="267">
        <v>12</v>
      </c>
      <c r="AN25" s="267">
        <f t="shared" si="5"/>
        <v>52</v>
      </c>
      <c r="AP25" s="267">
        <v>36</v>
      </c>
      <c r="AQ25" s="267">
        <v>14</v>
      </c>
      <c r="AR25" s="267">
        <f t="shared" si="6"/>
        <v>50</v>
      </c>
      <c r="AT25" s="267">
        <v>21</v>
      </c>
      <c r="AU25" s="285">
        <v>28</v>
      </c>
      <c r="AV25" s="267">
        <f t="shared" si="7"/>
        <v>49</v>
      </c>
      <c r="AY25" s="267">
        <v>33</v>
      </c>
      <c r="AZ25" s="267">
        <v>17</v>
      </c>
      <c r="BA25" s="267">
        <f t="shared" si="8"/>
        <v>50</v>
      </c>
      <c r="BC25" s="267">
        <v>32</v>
      </c>
      <c r="BD25" s="267">
        <v>18</v>
      </c>
      <c r="BE25" s="267">
        <f t="shared" si="9"/>
        <v>50</v>
      </c>
      <c r="BI25" s="267">
        <f t="shared" si="10"/>
        <v>0</v>
      </c>
    </row>
    <row r="26" spans="1:61" s="267" customFormat="1" ht="18" customHeight="1" x14ac:dyDescent="0.2">
      <c r="A26" s="650">
        <v>1999</v>
      </c>
      <c r="B26" s="262" t="s">
        <v>192</v>
      </c>
      <c r="C26" s="266">
        <v>10</v>
      </c>
      <c r="D26" s="266">
        <v>25</v>
      </c>
      <c r="E26" s="269">
        <f t="shared" si="11"/>
        <v>35</v>
      </c>
      <c r="F26" s="262" t="s">
        <v>4117</v>
      </c>
      <c r="G26" s="266">
        <v>1</v>
      </c>
      <c r="H26" s="266">
        <v>29</v>
      </c>
      <c r="I26" s="269">
        <f t="shared" si="12"/>
        <v>30</v>
      </c>
      <c r="J26" s="262" t="s">
        <v>4130</v>
      </c>
      <c r="K26" s="266">
        <v>7</v>
      </c>
      <c r="L26" s="266">
        <v>31</v>
      </c>
      <c r="M26" s="269">
        <f t="shared" si="13"/>
        <v>38</v>
      </c>
      <c r="N26" s="267" t="s">
        <v>4133</v>
      </c>
      <c r="O26" s="268">
        <v>17</v>
      </c>
      <c r="P26" s="268">
        <v>22</v>
      </c>
      <c r="Q26" s="269">
        <f t="shared" si="0"/>
        <v>39</v>
      </c>
      <c r="U26" s="267">
        <v>42</v>
      </c>
      <c r="V26" s="267">
        <v>22</v>
      </c>
      <c r="W26" s="267">
        <f t="shared" si="1"/>
        <v>64</v>
      </c>
      <c r="Y26" s="267">
        <v>16</v>
      </c>
      <c r="Z26" s="267">
        <v>35</v>
      </c>
      <c r="AA26" s="267">
        <f t="shared" si="2"/>
        <v>51</v>
      </c>
      <c r="AD26" s="267">
        <v>18</v>
      </c>
      <c r="AE26" s="267">
        <v>33</v>
      </c>
      <c r="AF26" s="267">
        <f t="shared" si="3"/>
        <v>51</v>
      </c>
      <c r="AH26" s="267">
        <v>12</v>
      </c>
      <c r="AI26" s="266">
        <v>42</v>
      </c>
      <c r="AJ26" s="267">
        <f t="shared" si="4"/>
        <v>54</v>
      </c>
      <c r="AL26" s="267">
        <v>30</v>
      </c>
      <c r="AM26" s="267">
        <v>23</v>
      </c>
      <c r="AN26" s="267">
        <f t="shared" si="5"/>
        <v>53</v>
      </c>
      <c r="AP26" s="267">
        <v>9</v>
      </c>
      <c r="AQ26" s="267">
        <v>43</v>
      </c>
      <c r="AR26" s="267">
        <f t="shared" si="6"/>
        <v>52</v>
      </c>
      <c r="AT26" s="267">
        <v>27</v>
      </c>
      <c r="AU26" s="267">
        <v>22</v>
      </c>
      <c r="AV26" s="267">
        <f t="shared" si="7"/>
        <v>49</v>
      </c>
      <c r="AY26" s="267">
        <v>13</v>
      </c>
      <c r="AZ26" s="267">
        <v>39</v>
      </c>
      <c r="BA26" s="267">
        <f t="shared" si="8"/>
        <v>52</v>
      </c>
      <c r="BC26" s="267">
        <v>35</v>
      </c>
      <c r="BD26" s="267">
        <v>15</v>
      </c>
      <c r="BE26" s="267">
        <f t="shared" si="9"/>
        <v>50</v>
      </c>
      <c r="BI26" s="267">
        <f t="shared" si="10"/>
        <v>0</v>
      </c>
    </row>
    <row r="27" spans="1:61" s="267" customFormat="1" ht="18" customHeight="1" x14ac:dyDescent="0.2">
      <c r="A27" s="650">
        <v>2000</v>
      </c>
      <c r="B27" s="262" t="s">
        <v>4131</v>
      </c>
      <c r="C27" s="266">
        <v>14</v>
      </c>
      <c r="D27" s="266">
        <v>19</v>
      </c>
      <c r="E27" s="269">
        <f t="shared" si="11"/>
        <v>33</v>
      </c>
      <c r="F27" s="262" t="s">
        <v>4132</v>
      </c>
      <c r="G27" s="266">
        <v>12</v>
      </c>
      <c r="H27" s="266">
        <v>24</v>
      </c>
      <c r="I27" s="269">
        <f t="shared" si="12"/>
        <v>36</v>
      </c>
      <c r="J27" s="262" t="s">
        <v>4459</v>
      </c>
      <c r="K27" s="266">
        <v>17</v>
      </c>
      <c r="L27" s="266">
        <v>21</v>
      </c>
      <c r="M27" s="269">
        <f t="shared" si="13"/>
        <v>38</v>
      </c>
      <c r="N27" s="267" t="s">
        <v>4106</v>
      </c>
      <c r="O27" s="267">
        <v>20</v>
      </c>
      <c r="P27" s="267">
        <v>19</v>
      </c>
      <c r="Q27" s="269">
        <f t="shared" si="0"/>
        <v>39</v>
      </c>
      <c r="U27" s="267">
        <v>45</v>
      </c>
      <c r="V27" s="267">
        <v>23</v>
      </c>
      <c r="W27" s="267">
        <f t="shared" si="1"/>
        <v>68</v>
      </c>
      <c r="Y27" s="267">
        <v>32</v>
      </c>
      <c r="Z27" s="285">
        <v>19</v>
      </c>
      <c r="AA27" s="267">
        <f t="shared" si="2"/>
        <v>51</v>
      </c>
      <c r="AD27" s="267">
        <v>35</v>
      </c>
      <c r="AE27" s="267">
        <v>16</v>
      </c>
      <c r="AF27" s="267">
        <f t="shared" si="3"/>
        <v>51</v>
      </c>
      <c r="AH27" s="267">
        <v>17</v>
      </c>
      <c r="AI27" s="267">
        <v>37</v>
      </c>
      <c r="AJ27" s="267">
        <f t="shared" si="4"/>
        <v>54</v>
      </c>
      <c r="AL27" s="267">
        <v>14</v>
      </c>
      <c r="AM27" s="267">
        <v>40</v>
      </c>
      <c r="AN27" s="267">
        <f t="shared" si="5"/>
        <v>54</v>
      </c>
      <c r="AP27" s="267">
        <v>28</v>
      </c>
      <c r="AQ27" s="285">
        <v>24</v>
      </c>
      <c r="AR27" s="267">
        <f t="shared" si="6"/>
        <v>52</v>
      </c>
      <c r="AT27" s="267">
        <v>32</v>
      </c>
      <c r="AU27" s="267">
        <v>17</v>
      </c>
      <c r="AV27" s="267">
        <f t="shared" si="7"/>
        <v>49</v>
      </c>
      <c r="AY27" s="267">
        <v>15</v>
      </c>
      <c r="AZ27" s="267">
        <v>37</v>
      </c>
      <c r="BA27" s="267">
        <f t="shared" si="8"/>
        <v>52</v>
      </c>
      <c r="BC27" s="267">
        <v>14</v>
      </c>
      <c r="BD27" s="267">
        <v>37</v>
      </c>
      <c r="BE27" s="267">
        <f t="shared" si="9"/>
        <v>51</v>
      </c>
      <c r="BI27" s="267">
        <f t="shared" si="10"/>
        <v>0</v>
      </c>
    </row>
    <row r="28" spans="1:61" s="267" customFormat="1" ht="18" customHeight="1" x14ac:dyDescent="0.2">
      <c r="A28" s="650">
        <v>2001</v>
      </c>
      <c r="B28" s="262" t="s">
        <v>4130</v>
      </c>
      <c r="C28" s="266">
        <v>7</v>
      </c>
      <c r="D28" s="266">
        <v>21</v>
      </c>
      <c r="E28" s="269">
        <f t="shared" si="11"/>
        <v>28</v>
      </c>
      <c r="F28" s="262" t="s">
        <v>4410</v>
      </c>
      <c r="G28" s="266">
        <v>15</v>
      </c>
      <c r="H28" s="266">
        <v>18</v>
      </c>
      <c r="I28" s="269">
        <f t="shared" si="12"/>
        <v>33</v>
      </c>
      <c r="J28" s="262" t="s">
        <v>4134</v>
      </c>
      <c r="K28" s="266">
        <v>14</v>
      </c>
      <c r="L28" s="266">
        <v>21</v>
      </c>
      <c r="M28" s="269">
        <f t="shared" si="13"/>
        <v>35</v>
      </c>
      <c r="N28" s="267" t="s">
        <v>4135</v>
      </c>
      <c r="O28" s="267">
        <v>18</v>
      </c>
      <c r="P28" s="267">
        <v>18</v>
      </c>
      <c r="Q28" s="269">
        <f t="shared" si="0"/>
        <v>36</v>
      </c>
      <c r="U28" s="267">
        <v>41</v>
      </c>
      <c r="V28" s="267">
        <v>27</v>
      </c>
      <c r="W28" s="267">
        <f t="shared" si="1"/>
        <v>68</v>
      </c>
      <c r="Y28" s="267">
        <v>26</v>
      </c>
      <c r="Z28" s="266">
        <v>27</v>
      </c>
      <c r="AA28" s="267">
        <f t="shared" si="2"/>
        <v>53</v>
      </c>
      <c r="AD28" s="267">
        <v>38</v>
      </c>
      <c r="AE28" s="267">
        <v>13</v>
      </c>
      <c r="AF28" s="267">
        <f t="shared" si="3"/>
        <v>51</v>
      </c>
      <c r="AH28" s="267">
        <v>30</v>
      </c>
      <c r="AI28" s="267">
        <v>24</v>
      </c>
      <c r="AJ28" s="267">
        <f t="shared" si="4"/>
        <v>54</v>
      </c>
      <c r="AL28" s="267">
        <v>24</v>
      </c>
      <c r="AM28" s="267">
        <v>30</v>
      </c>
      <c r="AN28" s="267">
        <f t="shared" si="5"/>
        <v>54</v>
      </c>
      <c r="AP28" s="267">
        <v>29</v>
      </c>
      <c r="AQ28" s="267">
        <v>23</v>
      </c>
      <c r="AR28" s="267">
        <f t="shared" si="6"/>
        <v>52</v>
      </c>
      <c r="AT28" s="267">
        <v>34</v>
      </c>
      <c r="AU28" s="267">
        <v>15</v>
      </c>
      <c r="AV28" s="267">
        <f t="shared" si="7"/>
        <v>49</v>
      </c>
      <c r="AY28" s="267">
        <v>19</v>
      </c>
      <c r="AZ28" s="285">
        <v>33</v>
      </c>
      <c r="BA28" s="267">
        <f t="shared" si="8"/>
        <v>52</v>
      </c>
      <c r="BC28" s="267">
        <v>24</v>
      </c>
      <c r="BD28" s="267">
        <v>27</v>
      </c>
      <c r="BE28" s="267">
        <f t="shared" si="9"/>
        <v>51</v>
      </c>
      <c r="BI28" s="267">
        <f t="shared" si="10"/>
        <v>0</v>
      </c>
    </row>
    <row r="29" spans="1:61" s="267" customFormat="1" ht="18" customHeight="1" x14ac:dyDescent="0.2">
      <c r="A29" s="650">
        <v>2002</v>
      </c>
      <c r="B29" s="266" t="s">
        <v>4136</v>
      </c>
      <c r="C29" s="266">
        <v>4</v>
      </c>
      <c r="D29" s="266">
        <v>26</v>
      </c>
      <c r="E29" s="269">
        <f t="shared" si="11"/>
        <v>30</v>
      </c>
      <c r="F29" s="266" t="s">
        <v>4409</v>
      </c>
      <c r="G29" s="266">
        <v>10</v>
      </c>
      <c r="H29" s="266">
        <v>23</v>
      </c>
      <c r="I29" s="269">
        <f t="shared" si="12"/>
        <v>33</v>
      </c>
      <c r="J29" s="262" t="s">
        <v>3659</v>
      </c>
      <c r="K29" s="266">
        <v>1</v>
      </c>
      <c r="L29" s="266">
        <v>37</v>
      </c>
      <c r="M29" s="269">
        <f t="shared" si="13"/>
        <v>38</v>
      </c>
      <c r="N29" s="267" t="s">
        <v>315</v>
      </c>
      <c r="O29" s="267">
        <v>19</v>
      </c>
      <c r="P29" s="267">
        <v>19</v>
      </c>
      <c r="Q29" s="269">
        <f t="shared" si="0"/>
        <v>38</v>
      </c>
      <c r="U29" s="267">
        <v>32</v>
      </c>
      <c r="V29" s="266">
        <v>28</v>
      </c>
      <c r="W29" s="267">
        <f t="shared" si="1"/>
        <v>60</v>
      </c>
      <c r="Y29" s="267">
        <v>19</v>
      </c>
      <c r="Z29" s="267">
        <v>35</v>
      </c>
      <c r="AA29" s="267">
        <f t="shared" si="2"/>
        <v>54</v>
      </c>
      <c r="AD29" s="267">
        <v>11</v>
      </c>
      <c r="AE29" s="267">
        <v>42</v>
      </c>
      <c r="AF29" s="267">
        <f t="shared" si="3"/>
        <v>53</v>
      </c>
      <c r="AH29" s="267">
        <v>1</v>
      </c>
      <c r="AI29" s="267">
        <v>54</v>
      </c>
      <c r="AJ29" s="267">
        <f t="shared" si="4"/>
        <v>55</v>
      </c>
      <c r="AL29" s="267">
        <v>33</v>
      </c>
      <c r="AM29" s="285">
        <v>21</v>
      </c>
      <c r="AN29" s="267">
        <f t="shared" si="5"/>
        <v>54</v>
      </c>
      <c r="AP29" s="267">
        <v>31</v>
      </c>
      <c r="AQ29" s="267">
        <v>21</v>
      </c>
      <c r="AR29" s="267">
        <f t="shared" si="6"/>
        <v>52</v>
      </c>
      <c r="AT29" s="267">
        <v>11</v>
      </c>
      <c r="AU29" s="267">
        <v>39</v>
      </c>
      <c r="AV29" s="267">
        <f t="shared" si="7"/>
        <v>50</v>
      </c>
      <c r="AY29" s="267">
        <v>37</v>
      </c>
      <c r="AZ29" s="267">
        <v>15</v>
      </c>
      <c r="BA29" s="267">
        <f t="shared" si="8"/>
        <v>52</v>
      </c>
      <c r="BC29" s="267">
        <v>25</v>
      </c>
      <c r="BD29" s="267">
        <v>26</v>
      </c>
      <c r="BE29" s="267">
        <f t="shared" si="9"/>
        <v>51</v>
      </c>
      <c r="BI29" s="267">
        <f t="shared" si="10"/>
        <v>0</v>
      </c>
    </row>
    <row r="30" spans="1:61" s="267" customFormat="1" ht="18" customHeight="1" x14ac:dyDescent="0.2">
      <c r="A30" s="651">
        <v>2003</v>
      </c>
      <c r="B30" s="262" t="s">
        <v>1950</v>
      </c>
      <c r="C30" s="266">
        <v>11</v>
      </c>
      <c r="D30" s="266">
        <v>20</v>
      </c>
      <c r="E30" s="269">
        <f t="shared" si="11"/>
        <v>31</v>
      </c>
      <c r="F30" s="266" t="s">
        <v>1951</v>
      </c>
      <c r="G30" s="266">
        <v>4</v>
      </c>
      <c r="H30" s="266">
        <v>25</v>
      </c>
      <c r="I30" s="269">
        <f t="shared" si="12"/>
        <v>29</v>
      </c>
      <c r="J30" s="266" t="s">
        <v>4125</v>
      </c>
      <c r="K30" s="266">
        <v>9</v>
      </c>
      <c r="L30" s="266">
        <v>24</v>
      </c>
      <c r="M30" s="269">
        <f t="shared" si="13"/>
        <v>33</v>
      </c>
      <c r="N30" s="267" t="s">
        <v>1952</v>
      </c>
      <c r="O30" s="267">
        <v>13</v>
      </c>
      <c r="P30" s="267">
        <v>27</v>
      </c>
      <c r="Q30" s="269">
        <f t="shared" si="0"/>
        <v>40</v>
      </c>
      <c r="U30" s="267">
        <v>39</v>
      </c>
      <c r="V30" s="267">
        <v>28</v>
      </c>
      <c r="W30" s="267">
        <f t="shared" si="1"/>
        <v>67</v>
      </c>
      <c r="Y30" s="267">
        <v>1</v>
      </c>
      <c r="Z30" s="267">
        <v>54</v>
      </c>
      <c r="AA30" s="267">
        <f t="shared" si="2"/>
        <v>55</v>
      </c>
      <c r="AD30" s="267">
        <v>17</v>
      </c>
      <c r="AE30" s="267">
        <v>36</v>
      </c>
      <c r="AF30" s="267">
        <f t="shared" si="3"/>
        <v>53</v>
      </c>
      <c r="AH30" s="267">
        <v>4</v>
      </c>
      <c r="AI30" s="267">
        <v>51</v>
      </c>
      <c r="AJ30" s="267">
        <f t="shared" si="4"/>
        <v>55</v>
      </c>
      <c r="AL30" s="267">
        <v>22</v>
      </c>
      <c r="AM30" s="267">
        <v>34</v>
      </c>
      <c r="AN30" s="267">
        <f t="shared" si="5"/>
        <v>56</v>
      </c>
      <c r="AP30" s="267">
        <v>33</v>
      </c>
      <c r="AQ30" s="285">
        <v>20</v>
      </c>
      <c r="AR30" s="267">
        <f t="shared" si="6"/>
        <v>53</v>
      </c>
      <c r="AT30" s="267">
        <v>12</v>
      </c>
      <c r="AU30" s="267">
        <v>39</v>
      </c>
      <c r="AV30" s="267">
        <f t="shared" si="7"/>
        <v>51</v>
      </c>
      <c r="AY30" s="267">
        <v>1</v>
      </c>
      <c r="AZ30" s="267">
        <v>52</v>
      </c>
      <c r="BA30" s="267">
        <f t="shared" si="8"/>
        <v>53</v>
      </c>
      <c r="BC30" s="267">
        <v>34</v>
      </c>
      <c r="BD30" s="267">
        <v>17</v>
      </c>
      <c r="BE30" s="267">
        <f t="shared" si="9"/>
        <v>51</v>
      </c>
      <c r="BI30" s="267">
        <f t="shared" si="10"/>
        <v>0</v>
      </c>
    </row>
    <row r="31" spans="1:61" s="267" customFormat="1" ht="18" customHeight="1" x14ac:dyDescent="0.2">
      <c r="A31" s="651">
        <v>2004</v>
      </c>
      <c r="B31" s="266" t="s">
        <v>4412</v>
      </c>
      <c r="C31" s="266">
        <v>8</v>
      </c>
      <c r="D31" s="266">
        <v>24</v>
      </c>
      <c r="E31" s="269">
        <f t="shared" si="11"/>
        <v>32</v>
      </c>
      <c r="F31" s="262" t="s">
        <v>1953</v>
      </c>
      <c r="G31" s="266">
        <v>4</v>
      </c>
      <c r="H31" s="266">
        <v>27</v>
      </c>
      <c r="I31" s="269">
        <f t="shared" si="12"/>
        <v>31</v>
      </c>
      <c r="J31" s="262" t="s">
        <v>1950</v>
      </c>
      <c r="K31" s="266">
        <v>10</v>
      </c>
      <c r="L31" s="266">
        <v>22</v>
      </c>
      <c r="M31" s="269">
        <f t="shared" si="13"/>
        <v>32</v>
      </c>
      <c r="N31" s="267" t="s">
        <v>4130</v>
      </c>
      <c r="O31" s="267">
        <v>11</v>
      </c>
      <c r="P31" s="267">
        <v>24</v>
      </c>
      <c r="Q31" s="269">
        <f t="shared" si="0"/>
        <v>35</v>
      </c>
      <c r="U31" s="267">
        <v>3</v>
      </c>
      <c r="V31" s="267">
        <v>29</v>
      </c>
      <c r="W31" s="267">
        <f t="shared" si="1"/>
        <v>32</v>
      </c>
      <c r="Y31" s="267">
        <v>22</v>
      </c>
      <c r="Z31" s="267">
        <v>33</v>
      </c>
      <c r="AA31" s="267">
        <f t="shared" si="2"/>
        <v>55</v>
      </c>
      <c r="AD31" s="267">
        <v>21</v>
      </c>
      <c r="AE31" s="267">
        <v>32</v>
      </c>
      <c r="AF31" s="267">
        <f t="shared" si="3"/>
        <v>53</v>
      </c>
      <c r="AH31" s="267">
        <v>13</v>
      </c>
      <c r="AI31" s="267">
        <v>42</v>
      </c>
      <c r="AJ31" s="267">
        <f t="shared" si="4"/>
        <v>55</v>
      </c>
      <c r="AL31" s="267">
        <v>4</v>
      </c>
      <c r="AM31" s="267">
        <v>55</v>
      </c>
      <c r="AN31" s="267">
        <f t="shared" si="5"/>
        <v>59</v>
      </c>
      <c r="AP31" s="267">
        <v>34</v>
      </c>
      <c r="AQ31" s="267">
        <v>19</v>
      </c>
      <c r="AR31" s="267">
        <f t="shared" si="6"/>
        <v>53</v>
      </c>
      <c r="AT31" s="267">
        <v>29</v>
      </c>
      <c r="AU31" s="267">
        <v>23</v>
      </c>
      <c r="AV31" s="267">
        <f t="shared" si="7"/>
        <v>52</v>
      </c>
      <c r="AY31" s="267">
        <v>36</v>
      </c>
      <c r="AZ31" s="267">
        <v>18</v>
      </c>
      <c r="BA31" s="267">
        <f t="shared" si="8"/>
        <v>54</v>
      </c>
      <c r="BC31" s="267">
        <v>31</v>
      </c>
      <c r="BD31" s="267">
        <v>21</v>
      </c>
      <c r="BE31" s="267">
        <f t="shared" si="9"/>
        <v>52</v>
      </c>
      <c r="BI31" s="267">
        <f t="shared" si="10"/>
        <v>0</v>
      </c>
    </row>
    <row r="32" spans="1:61" s="266" customFormat="1" ht="18" customHeight="1" x14ac:dyDescent="0.2">
      <c r="A32" s="651">
        <v>2005</v>
      </c>
      <c r="B32" s="266" t="s">
        <v>1954</v>
      </c>
      <c r="C32" s="266">
        <v>25</v>
      </c>
      <c r="D32" s="266">
        <v>10</v>
      </c>
      <c r="E32" s="269">
        <f t="shared" si="11"/>
        <v>35</v>
      </c>
      <c r="F32" s="262" t="s">
        <v>1955</v>
      </c>
      <c r="G32" s="266">
        <v>5</v>
      </c>
      <c r="H32" s="266">
        <v>26</v>
      </c>
      <c r="I32" s="269">
        <f t="shared" si="12"/>
        <v>31</v>
      </c>
      <c r="J32" s="266" t="s">
        <v>4410</v>
      </c>
      <c r="K32" s="266">
        <v>10</v>
      </c>
      <c r="L32" s="266">
        <v>24</v>
      </c>
      <c r="M32" s="269">
        <f t="shared" si="13"/>
        <v>34</v>
      </c>
      <c r="N32" s="267" t="s">
        <v>1956</v>
      </c>
      <c r="O32" s="266">
        <v>12</v>
      </c>
      <c r="P32" s="267">
        <v>23</v>
      </c>
      <c r="Q32" s="269">
        <f t="shared" si="0"/>
        <v>35</v>
      </c>
      <c r="U32" s="267">
        <v>7</v>
      </c>
      <c r="V32" s="267">
        <v>29</v>
      </c>
      <c r="W32" s="267">
        <f t="shared" si="1"/>
        <v>36</v>
      </c>
      <c r="Y32" s="267">
        <v>27</v>
      </c>
      <c r="Z32" s="266">
        <v>28</v>
      </c>
      <c r="AA32" s="267">
        <f t="shared" si="2"/>
        <v>55</v>
      </c>
      <c r="AD32" s="267">
        <v>29</v>
      </c>
      <c r="AE32" s="267">
        <v>24</v>
      </c>
      <c r="AF32" s="267">
        <f t="shared" si="3"/>
        <v>53</v>
      </c>
      <c r="AH32" s="267">
        <v>28</v>
      </c>
      <c r="AI32" s="267">
        <v>27</v>
      </c>
      <c r="AJ32" s="267">
        <f t="shared" si="4"/>
        <v>55</v>
      </c>
      <c r="AL32" s="267">
        <v>6</v>
      </c>
      <c r="AM32" s="267">
        <v>53</v>
      </c>
      <c r="AN32" s="267">
        <f t="shared" si="5"/>
        <v>59</v>
      </c>
      <c r="AP32" s="267">
        <v>13</v>
      </c>
      <c r="AQ32" s="266">
        <v>41</v>
      </c>
      <c r="AR32" s="267">
        <f t="shared" si="6"/>
        <v>54</v>
      </c>
      <c r="AT32" s="267">
        <v>33</v>
      </c>
      <c r="AU32" s="267">
        <v>19</v>
      </c>
      <c r="AV32" s="267">
        <f t="shared" si="7"/>
        <v>52</v>
      </c>
      <c r="AY32" s="267">
        <v>12</v>
      </c>
      <c r="AZ32" s="266">
        <v>44</v>
      </c>
      <c r="BA32" s="267">
        <f t="shared" si="8"/>
        <v>56</v>
      </c>
      <c r="BC32" s="267">
        <v>5</v>
      </c>
      <c r="BD32" s="267">
        <v>48</v>
      </c>
      <c r="BE32" s="267">
        <f t="shared" si="9"/>
        <v>53</v>
      </c>
      <c r="BG32" s="267"/>
      <c r="BH32" s="267"/>
      <c r="BI32" s="267">
        <f t="shared" si="10"/>
        <v>0</v>
      </c>
    </row>
    <row r="33" spans="1:62" s="266" customFormat="1" ht="18" customHeight="1" x14ac:dyDescent="0.2">
      <c r="A33" s="651">
        <v>2006</v>
      </c>
      <c r="B33" s="266" t="s">
        <v>4275</v>
      </c>
      <c r="C33" s="266">
        <v>11</v>
      </c>
      <c r="D33" s="266">
        <v>15</v>
      </c>
      <c r="E33" s="269">
        <f t="shared" si="11"/>
        <v>26</v>
      </c>
      <c r="F33" s="266" t="s">
        <v>4411</v>
      </c>
      <c r="G33" s="266">
        <v>8</v>
      </c>
      <c r="H33" s="266">
        <v>22</v>
      </c>
      <c r="I33" s="269">
        <f t="shared" si="12"/>
        <v>30</v>
      </c>
      <c r="J33" s="262" t="s">
        <v>1956</v>
      </c>
      <c r="K33" s="266">
        <v>17</v>
      </c>
      <c r="L33" s="266">
        <v>17</v>
      </c>
      <c r="M33" s="269">
        <f t="shared" si="13"/>
        <v>34</v>
      </c>
      <c r="N33" s="266" t="s">
        <v>4276</v>
      </c>
      <c r="O33" s="266">
        <v>22</v>
      </c>
      <c r="P33" s="267">
        <v>14</v>
      </c>
      <c r="Q33" s="269">
        <f t="shared" si="0"/>
        <v>36</v>
      </c>
      <c r="U33" s="267">
        <v>24</v>
      </c>
      <c r="V33" s="267">
        <v>30</v>
      </c>
      <c r="W33" s="267">
        <f t="shared" si="1"/>
        <v>54</v>
      </c>
      <c r="Y33" s="267">
        <v>4</v>
      </c>
      <c r="Z33" s="267">
        <v>53</v>
      </c>
      <c r="AA33" s="267">
        <f t="shared" si="2"/>
        <v>57</v>
      </c>
      <c r="AD33" s="267">
        <v>32</v>
      </c>
      <c r="AE33" s="285">
        <v>21</v>
      </c>
      <c r="AF33" s="267">
        <f t="shared" si="3"/>
        <v>53</v>
      </c>
      <c r="AH33" s="267">
        <v>32</v>
      </c>
      <c r="AI33" s="267">
        <v>24</v>
      </c>
      <c r="AJ33" s="267">
        <f t="shared" si="4"/>
        <v>56</v>
      </c>
      <c r="AL33" s="267">
        <v>11</v>
      </c>
      <c r="AM33" s="267">
        <v>48</v>
      </c>
      <c r="AN33" s="267">
        <f t="shared" si="5"/>
        <v>59</v>
      </c>
      <c r="AP33" s="267">
        <v>1</v>
      </c>
      <c r="AQ33" s="267">
        <v>54</v>
      </c>
      <c r="AR33" s="267">
        <f t="shared" si="6"/>
        <v>55</v>
      </c>
      <c r="AT33" s="267">
        <v>26</v>
      </c>
      <c r="AU33" s="266">
        <v>27</v>
      </c>
      <c r="AV33" s="267">
        <f t="shared" si="7"/>
        <v>53</v>
      </c>
      <c r="AY33" s="267">
        <v>28</v>
      </c>
      <c r="AZ33" s="267">
        <v>28</v>
      </c>
      <c r="BA33" s="267">
        <f t="shared" si="8"/>
        <v>56</v>
      </c>
      <c r="BC33" s="267">
        <v>22</v>
      </c>
      <c r="BD33" s="285">
        <v>31</v>
      </c>
      <c r="BE33" s="267">
        <f t="shared" si="9"/>
        <v>53</v>
      </c>
      <c r="BG33" s="267"/>
      <c r="BH33" s="285"/>
      <c r="BI33" s="267">
        <f t="shared" si="10"/>
        <v>0</v>
      </c>
    </row>
    <row r="34" spans="1:62" s="266" customFormat="1" ht="18" customHeight="1" x14ac:dyDescent="0.2">
      <c r="A34" s="651">
        <v>2007</v>
      </c>
      <c r="B34" s="266" t="s">
        <v>319</v>
      </c>
      <c r="C34" s="266">
        <v>20</v>
      </c>
      <c r="D34" s="266">
        <v>12</v>
      </c>
      <c r="E34" s="269">
        <f t="shared" si="11"/>
        <v>32</v>
      </c>
      <c r="F34" s="262" t="s">
        <v>4130</v>
      </c>
      <c r="G34" s="266">
        <v>11</v>
      </c>
      <c r="H34" s="266">
        <v>24</v>
      </c>
      <c r="I34" s="269">
        <f t="shared" si="12"/>
        <v>35</v>
      </c>
      <c r="J34" s="266" t="s">
        <v>2451</v>
      </c>
      <c r="K34" s="266">
        <v>6</v>
      </c>
      <c r="L34" s="266">
        <v>29</v>
      </c>
      <c r="M34" s="269">
        <f t="shared" si="13"/>
        <v>35</v>
      </c>
      <c r="N34" s="266" t="s">
        <v>4277</v>
      </c>
      <c r="O34" s="266">
        <v>19</v>
      </c>
      <c r="P34" s="267">
        <v>17</v>
      </c>
      <c r="Q34" s="269">
        <f t="shared" si="0"/>
        <v>36</v>
      </c>
      <c r="U34" s="267">
        <v>17</v>
      </c>
      <c r="V34" s="267">
        <v>31</v>
      </c>
      <c r="W34" s="267">
        <f t="shared" si="1"/>
        <v>48</v>
      </c>
      <c r="Y34" s="267">
        <v>9</v>
      </c>
      <c r="Z34" s="267">
        <v>48</v>
      </c>
      <c r="AA34" s="267">
        <f t="shared" si="2"/>
        <v>57</v>
      </c>
      <c r="AD34" s="267">
        <v>37</v>
      </c>
      <c r="AE34" s="267">
        <v>17</v>
      </c>
      <c r="AF34" s="267">
        <f t="shared" si="3"/>
        <v>54</v>
      </c>
      <c r="AH34" s="267">
        <v>6</v>
      </c>
      <c r="AI34" s="267">
        <v>52</v>
      </c>
      <c r="AJ34" s="267">
        <f t="shared" si="4"/>
        <v>58</v>
      </c>
      <c r="AL34" s="267">
        <v>38</v>
      </c>
      <c r="AM34" s="267">
        <v>21</v>
      </c>
      <c r="AN34" s="267">
        <f t="shared" si="5"/>
        <v>59</v>
      </c>
      <c r="AP34" s="267">
        <v>3</v>
      </c>
      <c r="AQ34" s="267">
        <v>52</v>
      </c>
      <c r="AR34" s="267">
        <f t="shared" si="6"/>
        <v>55</v>
      </c>
      <c r="AT34" s="267">
        <v>31</v>
      </c>
      <c r="AU34" s="267">
        <v>22</v>
      </c>
      <c r="AV34" s="267">
        <f t="shared" si="7"/>
        <v>53</v>
      </c>
      <c r="AY34" s="267">
        <v>35</v>
      </c>
      <c r="AZ34" s="267">
        <v>21</v>
      </c>
      <c r="BA34" s="267">
        <f t="shared" si="8"/>
        <v>56</v>
      </c>
      <c r="BC34" s="267">
        <v>30</v>
      </c>
      <c r="BD34" s="267">
        <v>23</v>
      </c>
      <c r="BE34" s="267">
        <f t="shared" si="9"/>
        <v>53</v>
      </c>
      <c r="BG34" s="267"/>
      <c r="BH34" s="267"/>
      <c r="BI34" s="267">
        <f t="shared" si="10"/>
        <v>0</v>
      </c>
    </row>
    <row r="35" spans="1:62" s="267" customFormat="1" ht="18" customHeight="1" x14ac:dyDescent="0.2">
      <c r="A35" s="651">
        <v>2008</v>
      </c>
      <c r="B35" s="266" t="s">
        <v>4410</v>
      </c>
      <c r="C35" s="266">
        <v>6</v>
      </c>
      <c r="D35" s="266">
        <v>22</v>
      </c>
      <c r="E35" s="269">
        <f t="shared" si="11"/>
        <v>28</v>
      </c>
      <c r="F35" s="266" t="s">
        <v>4456</v>
      </c>
      <c r="G35" s="266">
        <v>2</v>
      </c>
      <c r="H35" s="266">
        <v>36</v>
      </c>
      <c r="I35" s="269">
        <f t="shared" si="12"/>
        <v>38</v>
      </c>
      <c r="J35" s="266" t="s">
        <v>4457</v>
      </c>
      <c r="K35" s="266">
        <v>22</v>
      </c>
      <c r="L35" s="266">
        <v>16</v>
      </c>
      <c r="M35" s="269">
        <f t="shared" si="13"/>
        <v>38</v>
      </c>
      <c r="N35" s="266" t="s">
        <v>4278</v>
      </c>
      <c r="O35" s="266">
        <v>7</v>
      </c>
      <c r="P35" s="267">
        <v>32</v>
      </c>
      <c r="Q35" s="269">
        <f t="shared" si="0"/>
        <v>39</v>
      </c>
      <c r="U35" s="267">
        <v>19</v>
      </c>
      <c r="V35" s="267">
        <v>31</v>
      </c>
      <c r="W35" s="267">
        <f t="shared" si="1"/>
        <v>50</v>
      </c>
      <c r="Y35" s="267">
        <v>7</v>
      </c>
      <c r="Z35" s="267">
        <v>51</v>
      </c>
      <c r="AA35" s="267">
        <f t="shared" si="2"/>
        <v>58</v>
      </c>
      <c r="AD35" s="267">
        <v>10</v>
      </c>
      <c r="AE35" s="267">
        <v>45</v>
      </c>
      <c r="AF35" s="267">
        <f t="shared" si="3"/>
        <v>55</v>
      </c>
      <c r="AH35" s="267">
        <v>3</v>
      </c>
      <c r="AI35" s="267">
        <v>56</v>
      </c>
      <c r="AJ35" s="267">
        <f t="shared" si="4"/>
        <v>59</v>
      </c>
      <c r="AL35" s="267">
        <v>32</v>
      </c>
      <c r="AM35" s="266">
        <v>28</v>
      </c>
      <c r="AN35" s="267">
        <f t="shared" si="5"/>
        <v>60</v>
      </c>
      <c r="AP35" s="267">
        <v>5</v>
      </c>
      <c r="AQ35" s="267">
        <v>51</v>
      </c>
      <c r="AR35" s="267">
        <f t="shared" si="6"/>
        <v>56</v>
      </c>
      <c r="AT35" s="267">
        <v>19</v>
      </c>
      <c r="AU35" s="267">
        <v>35</v>
      </c>
      <c r="AV35" s="267">
        <f t="shared" si="7"/>
        <v>54</v>
      </c>
      <c r="AY35" s="267">
        <v>5</v>
      </c>
      <c r="AZ35" s="285">
        <v>52</v>
      </c>
      <c r="BA35" s="267">
        <f t="shared" si="8"/>
        <v>57</v>
      </c>
      <c r="BC35" s="267">
        <v>29</v>
      </c>
      <c r="BD35" s="285">
        <v>26</v>
      </c>
      <c r="BE35" s="267">
        <f t="shared" si="9"/>
        <v>55</v>
      </c>
      <c r="BH35" s="285"/>
      <c r="BI35" s="267">
        <f t="shared" si="10"/>
        <v>0</v>
      </c>
    </row>
    <row r="36" spans="1:62" s="267" customFormat="1" ht="18" customHeight="1" x14ac:dyDescent="0.2">
      <c r="A36" s="651">
        <v>2009</v>
      </c>
      <c r="B36" s="266" t="s">
        <v>1956</v>
      </c>
      <c r="C36" s="266">
        <v>17</v>
      </c>
      <c r="D36" s="266">
        <v>19</v>
      </c>
      <c r="E36" s="269">
        <f t="shared" si="11"/>
        <v>36</v>
      </c>
      <c r="F36" s="266" t="s">
        <v>4279</v>
      </c>
      <c r="G36" s="266">
        <v>7</v>
      </c>
      <c r="H36" s="266">
        <v>24</v>
      </c>
      <c r="I36" s="269">
        <f t="shared" si="12"/>
        <v>31</v>
      </c>
      <c r="J36" s="266" t="s">
        <v>4133</v>
      </c>
      <c r="K36" s="266">
        <v>16</v>
      </c>
      <c r="L36" s="266">
        <v>22</v>
      </c>
      <c r="M36" s="269">
        <f t="shared" si="13"/>
        <v>38</v>
      </c>
      <c r="N36" s="266" t="s">
        <v>4280</v>
      </c>
      <c r="O36" s="266">
        <v>22</v>
      </c>
      <c r="P36" s="267">
        <v>19</v>
      </c>
      <c r="Q36" s="269">
        <f t="shared" si="0"/>
        <v>41</v>
      </c>
      <c r="U36" s="267">
        <v>31</v>
      </c>
      <c r="V36" s="267">
        <v>32</v>
      </c>
      <c r="W36" s="267">
        <f t="shared" si="1"/>
        <v>63</v>
      </c>
      <c r="Y36" s="267">
        <v>11</v>
      </c>
      <c r="Z36" s="267">
        <v>47</v>
      </c>
      <c r="AA36" s="267">
        <f t="shared" si="2"/>
        <v>58</v>
      </c>
      <c r="AD36" s="267">
        <v>15</v>
      </c>
      <c r="AE36" s="267">
        <v>40</v>
      </c>
      <c r="AF36" s="267">
        <f t="shared" si="3"/>
        <v>55</v>
      </c>
      <c r="AH36" s="267">
        <v>15</v>
      </c>
      <c r="AI36" s="267">
        <v>45</v>
      </c>
      <c r="AJ36" s="267">
        <f t="shared" si="4"/>
        <v>60</v>
      </c>
      <c r="AL36" s="267">
        <v>36</v>
      </c>
      <c r="AM36" s="267">
        <v>24</v>
      </c>
      <c r="AN36" s="267">
        <f t="shared" si="5"/>
        <v>60</v>
      </c>
      <c r="AP36" s="267">
        <v>26</v>
      </c>
      <c r="AQ36" s="267">
        <v>30</v>
      </c>
      <c r="AR36" s="267">
        <f t="shared" si="6"/>
        <v>56</v>
      </c>
      <c r="AT36" s="267">
        <v>13</v>
      </c>
      <c r="AU36" s="267">
        <v>42</v>
      </c>
      <c r="AV36" s="267">
        <f t="shared" si="7"/>
        <v>55</v>
      </c>
      <c r="AY36" s="267">
        <v>21</v>
      </c>
      <c r="AZ36" s="267">
        <v>36</v>
      </c>
      <c r="BA36" s="267">
        <f t="shared" si="8"/>
        <v>57</v>
      </c>
      <c r="BC36" s="267">
        <v>17</v>
      </c>
      <c r="BD36" s="267">
        <v>39</v>
      </c>
      <c r="BE36" s="267">
        <f t="shared" si="9"/>
        <v>56</v>
      </c>
      <c r="BI36" s="267">
        <f t="shared" si="10"/>
        <v>0</v>
      </c>
    </row>
    <row r="37" spans="1:62" s="285" customFormat="1" ht="18" customHeight="1" x14ac:dyDescent="0.2">
      <c r="A37" s="283">
        <v>2010</v>
      </c>
      <c r="B37" s="284" t="s">
        <v>2251</v>
      </c>
      <c r="C37" s="284">
        <v>10</v>
      </c>
      <c r="D37" s="284">
        <v>15</v>
      </c>
      <c r="E37" s="287">
        <f t="shared" si="11"/>
        <v>25</v>
      </c>
      <c r="F37" s="284" t="s">
        <v>4276</v>
      </c>
      <c r="G37" s="284">
        <v>20</v>
      </c>
      <c r="H37" s="284">
        <v>12</v>
      </c>
      <c r="I37" s="287">
        <f t="shared" si="12"/>
        <v>32</v>
      </c>
      <c r="J37" s="284" t="s">
        <v>4409</v>
      </c>
      <c r="K37" s="284">
        <v>5</v>
      </c>
      <c r="L37" s="284">
        <v>36</v>
      </c>
      <c r="M37" s="287">
        <f t="shared" si="13"/>
        <v>41</v>
      </c>
      <c r="N37" s="284" t="s">
        <v>338</v>
      </c>
      <c r="O37" s="284">
        <v>6</v>
      </c>
      <c r="P37" s="285">
        <v>35</v>
      </c>
      <c r="Q37" s="340">
        <f t="shared" si="0"/>
        <v>41</v>
      </c>
      <c r="U37" s="267">
        <v>13</v>
      </c>
      <c r="V37" s="267">
        <v>33</v>
      </c>
      <c r="W37" s="267">
        <f t="shared" si="1"/>
        <v>46</v>
      </c>
      <c r="Y37" s="267">
        <v>33</v>
      </c>
      <c r="Z37" s="267">
        <v>28</v>
      </c>
      <c r="AA37" s="267">
        <f t="shared" si="2"/>
        <v>61</v>
      </c>
      <c r="AD37" s="267">
        <v>28</v>
      </c>
      <c r="AE37" s="266">
        <v>27</v>
      </c>
      <c r="AF37" s="267">
        <f t="shared" si="3"/>
        <v>55</v>
      </c>
      <c r="AH37" s="267">
        <v>19</v>
      </c>
      <c r="AI37" s="267">
        <v>41</v>
      </c>
      <c r="AJ37" s="267">
        <f t="shared" si="4"/>
        <v>60</v>
      </c>
      <c r="AL37" s="267">
        <v>44</v>
      </c>
      <c r="AM37" s="267">
        <v>16</v>
      </c>
      <c r="AN37" s="267">
        <f t="shared" si="5"/>
        <v>60</v>
      </c>
      <c r="AP37" s="267">
        <v>35</v>
      </c>
      <c r="AQ37" s="267">
        <v>22</v>
      </c>
      <c r="AR37" s="267">
        <f t="shared" si="6"/>
        <v>57</v>
      </c>
      <c r="AT37" s="267">
        <v>1</v>
      </c>
      <c r="AU37" s="267">
        <v>62</v>
      </c>
      <c r="AV37" s="267">
        <f t="shared" si="7"/>
        <v>63</v>
      </c>
      <c r="AW37" s="286"/>
      <c r="AX37" s="286"/>
      <c r="AY37" s="267">
        <v>22</v>
      </c>
      <c r="AZ37" s="267">
        <v>35</v>
      </c>
      <c r="BA37" s="267">
        <f t="shared" si="8"/>
        <v>57</v>
      </c>
      <c r="BB37" s="286"/>
      <c r="BC37" s="267">
        <v>1</v>
      </c>
      <c r="BD37" s="266">
        <v>56</v>
      </c>
      <c r="BE37" s="267">
        <f t="shared" si="9"/>
        <v>57</v>
      </c>
      <c r="BF37" s="286"/>
      <c r="BG37" s="267"/>
      <c r="BH37" s="266"/>
      <c r="BI37" s="267">
        <f t="shared" si="10"/>
        <v>0</v>
      </c>
      <c r="BJ37" s="286"/>
    </row>
    <row r="38" spans="1:62" s="285" customFormat="1" ht="18" customHeight="1" x14ac:dyDescent="0.2">
      <c r="A38" s="283">
        <v>2011</v>
      </c>
      <c r="B38" s="284" t="s">
        <v>338</v>
      </c>
      <c r="C38" s="284">
        <v>3</v>
      </c>
      <c r="D38" s="284">
        <v>33</v>
      </c>
      <c r="E38" s="287">
        <f t="shared" si="11"/>
        <v>36</v>
      </c>
      <c r="F38" s="284" t="s">
        <v>2251</v>
      </c>
      <c r="G38" s="284">
        <v>20</v>
      </c>
      <c r="H38" s="284">
        <v>13</v>
      </c>
      <c r="I38" s="287">
        <f t="shared" si="12"/>
        <v>33</v>
      </c>
      <c r="J38" s="284" t="s">
        <v>4276</v>
      </c>
      <c r="K38" s="284">
        <v>24</v>
      </c>
      <c r="L38" s="284">
        <v>14</v>
      </c>
      <c r="M38" s="287">
        <f t="shared" si="13"/>
        <v>38</v>
      </c>
      <c r="N38" s="284" t="s">
        <v>2855</v>
      </c>
      <c r="O38" s="284">
        <v>23</v>
      </c>
      <c r="P38" s="285">
        <v>16</v>
      </c>
      <c r="Q38" s="340">
        <f t="shared" si="0"/>
        <v>39</v>
      </c>
      <c r="U38" s="267">
        <v>10</v>
      </c>
      <c r="V38" s="267">
        <v>34</v>
      </c>
      <c r="W38" s="267">
        <f t="shared" si="1"/>
        <v>44</v>
      </c>
      <c r="Y38" s="267">
        <v>28</v>
      </c>
      <c r="Z38" s="266">
        <v>35</v>
      </c>
      <c r="AA38" s="267">
        <f t="shared" si="2"/>
        <v>63</v>
      </c>
      <c r="AD38" s="267">
        <v>33</v>
      </c>
      <c r="AE38" s="267">
        <v>23</v>
      </c>
      <c r="AF38" s="267">
        <f t="shared" si="3"/>
        <v>56</v>
      </c>
      <c r="AH38" s="267">
        <v>14</v>
      </c>
      <c r="AI38" s="267">
        <v>48</v>
      </c>
      <c r="AJ38" s="267">
        <f t="shared" si="4"/>
        <v>62</v>
      </c>
      <c r="AL38" s="267">
        <v>2</v>
      </c>
      <c r="AM38" s="267">
        <v>59</v>
      </c>
      <c r="AN38" s="267">
        <f t="shared" si="5"/>
        <v>61</v>
      </c>
      <c r="AP38" s="267">
        <v>4</v>
      </c>
      <c r="AQ38" s="267">
        <v>56</v>
      </c>
      <c r="AR38" s="267">
        <f t="shared" si="6"/>
        <v>60</v>
      </c>
      <c r="AT38" s="267">
        <v>2</v>
      </c>
      <c r="AU38" s="267">
        <v>61</v>
      </c>
      <c r="AV38" s="267">
        <f t="shared" si="7"/>
        <v>63</v>
      </c>
      <c r="AW38" s="286"/>
      <c r="AX38" s="286"/>
      <c r="AY38" s="267">
        <v>16</v>
      </c>
      <c r="AZ38" s="267">
        <v>42</v>
      </c>
      <c r="BA38" s="267">
        <f t="shared" si="8"/>
        <v>58</v>
      </c>
      <c r="BB38" s="286"/>
      <c r="BC38" s="267">
        <v>28</v>
      </c>
      <c r="BD38" s="267">
        <v>30</v>
      </c>
      <c r="BE38" s="267">
        <f t="shared" si="9"/>
        <v>58</v>
      </c>
      <c r="BF38" s="286"/>
      <c r="BG38" s="267"/>
      <c r="BH38" s="267"/>
      <c r="BI38" s="267">
        <f t="shared" si="10"/>
        <v>0</v>
      </c>
      <c r="BJ38" s="286"/>
    </row>
    <row r="39" spans="1:62" s="285" customFormat="1" ht="18" customHeight="1" x14ac:dyDescent="0.2">
      <c r="A39" s="283">
        <v>2012</v>
      </c>
      <c r="B39" s="284" t="s">
        <v>2566</v>
      </c>
      <c r="C39" s="284">
        <v>8</v>
      </c>
      <c r="D39" s="284">
        <v>30</v>
      </c>
      <c r="E39" s="287">
        <f t="shared" si="11"/>
        <v>38</v>
      </c>
      <c r="F39" s="266" t="s">
        <v>2250</v>
      </c>
      <c r="G39" s="266">
        <v>7</v>
      </c>
      <c r="H39" s="266">
        <v>17</v>
      </c>
      <c r="I39" s="269">
        <f t="shared" ref="I39:I41" si="14">+H39+G39</f>
        <v>24</v>
      </c>
      <c r="J39" s="284" t="s">
        <v>4458</v>
      </c>
      <c r="K39" s="284">
        <v>25</v>
      </c>
      <c r="L39" s="284">
        <v>15</v>
      </c>
      <c r="M39" s="287">
        <f t="shared" si="13"/>
        <v>40</v>
      </c>
      <c r="N39" s="284" t="s">
        <v>3752</v>
      </c>
      <c r="O39" s="284">
        <v>12</v>
      </c>
      <c r="P39" s="285">
        <v>30</v>
      </c>
      <c r="Q39" s="340">
        <f t="shared" si="0"/>
        <v>42</v>
      </c>
      <c r="U39" s="267">
        <v>16</v>
      </c>
      <c r="V39" s="267">
        <v>34</v>
      </c>
      <c r="W39" s="267">
        <f t="shared" si="1"/>
        <v>50</v>
      </c>
      <c r="Y39" s="267">
        <v>6</v>
      </c>
      <c r="Z39" s="267">
        <v>59</v>
      </c>
      <c r="AA39" s="267">
        <f t="shared" si="2"/>
        <v>65</v>
      </c>
      <c r="AD39" s="267">
        <v>3</v>
      </c>
      <c r="AE39" s="267">
        <v>54</v>
      </c>
      <c r="AF39" s="267">
        <f t="shared" si="3"/>
        <v>57</v>
      </c>
      <c r="AG39" s="267"/>
      <c r="AH39" s="267">
        <v>31</v>
      </c>
      <c r="AI39" s="266">
        <v>34</v>
      </c>
      <c r="AJ39" s="267">
        <f t="shared" si="4"/>
        <v>65</v>
      </c>
      <c r="AL39" s="267">
        <v>18</v>
      </c>
      <c r="AM39" s="267">
        <v>43</v>
      </c>
      <c r="AN39" s="267">
        <f t="shared" si="5"/>
        <v>61</v>
      </c>
      <c r="AP39" s="267">
        <v>15</v>
      </c>
      <c r="AQ39" s="267">
        <v>45</v>
      </c>
      <c r="AR39" s="267">
        <f t="shared" si="6"/>
        <v>60</v>
      </c>
      <c r="AT39" s="267">
        <v>35</v>
      </c>
      <c r="AU39" s="267">
        <v>28</v>
      </c>
      <c r="AV39" s="267">
        <f t="shared" si="7"/>
        <v>63</v>
      </c>
      <c r="AW39" s="286"/>
      <c r="AX39" s="286"/>
      <c r="AY39" s="267">
        <v>14</v>
      </c>
      <c r="AZ39" s="267">
        <v>47</v>
      </c>
      <c r="BA39" s="267">
        <f t="shared" si="8"/>
        <v>61</v>
      </c>
      <c r="BB39" s="286"/>
      <c r="BC39" s="267">
        <v>20</v>
      </c>
      <c r="BD39" s="267">
        <v>42</v>
      </c>
      <c r="BE39" s="267">
        <f t="shared" si="9"/>
        <v>62</v>
      </c>
      <c r="BF39" s="286"/>
      <c r="BG39" s="267"/>
      <c r="BH39" s="267"/>
      <c r="BI39" s="267">
        <f t="shared" si="10"/>
        <v>0</v>
      </c>
      <c r="BJ39" s="286"/>
    </row>
    <row r="40" spans="1:62" s="267" customFormat="1" ht="18" customHeight="1" x14ac:dyDescent="0.2">
      <c r="A40" s="283">
        <v>2013</v>
      </c>
      <c r="B40" s="284" t="s">
        <v>4288</v>
      </c>
      <c r="C40" s="284">
        <v>26</v>
      </c>
      <c r="D40" s="284">
        <v>15</v>
      </c>
      <c r="E40" s="287">
        <f>+D40+C40</f>
        <v>41</v>
      </c>
      <c r="F40" s="266" t="s">
        <v>186</v>
      </c>
      <c r="G40" s="266">
        <v>7</v>
      </c>
      <c r="H40" s="266">
        <v>21</v>
      </c>
      <c r="I40" s="269">
        <f t="shared" si="14"/>
        <v>28</v>
      </c>
      <c r="J40" s="284" t="s">
        <v>4278</v>
      </c>
      <c r="K40" s="284">
        <v>9</v>
      </c>
      <c r="L40" s="284">
        <v>28</v>
      </c>
      <c r="M40" s="287">
        <f t="shared" ref="M40:M45" si="15">+L40+K40</f>
        <v>37</v>
      </c>
      <c r="N40" s="284" t="s">
        <v>4506</v>
      </c>
      <c r="O40" s="284">
        <v>20</v>
      </c>
      <c r="P40" s="285">
        <v>20</v>
      </c>
      <c r="Q40" s="340">
        <f t="shared" ref="Q40:Q47" si="16">+O40+P40</f>
        <v>40</v>
      </c>
      <c r="U40" s="267">
        <v>22</v>
      </c>
      <c r="V40" s="266">
        <v>34</v>
      </c>
      <c r="W40" s="267">
        <f t="shared" si="1"/>
        <v>56</v>
      </c>
      <c r="Z40" s="285"/>
      <c r="AD40" s="267">
        <v>16</v>
      </c>
      <c r="AE40" s="267">
        <v>41</v>
      </c>
      <c r="AF40" s="267">
        <f>+AD40+AE40</f>
        <v>57</v>
      </c>
      <c r="AH40" s="267">
        <v>33</v>
      </c>
      <c r="AI40" s="267">
        <v>34</v>
      </c>
      <c r="AJ40" s="267">
        <f>+AH40+AI40</f>
        <v>67</v>
      </c>
      <c r="AL40" s="267">
        <v>25</v>
      </c>
      <c r="AM40" s="267">
        <v>36</v>
      </c>
      <c r="AN40" s="267">
        <f t="shared" si="5"/>
        <v>61</v>
      </c>
      <c r="AP40" s="267">
        <v>17</v>
      </c>
      <c r="AQ40" s="267">
        <v>43</v>
      </c>
      <c r="AR40" s="267">
        <f t="shared" si="6"/>
        <v>60</v>
      </c>
      <c r="AT40" s="267">
        <v>6</v>
      </c>
      <c r="AU40" s="267">
        <v>59</v>
      </c>
      <c r="AV40" s="267">
        <f t="shared" si="7"/>
        <v>65</v>
      </c>
      <c r="AY40" s="267">
        <v>3</v>
      </c>
      <c r="AZ40" s="267">
        <v>60</v>
      </c>
      <c r="BA40" s="267">
        <f t="shared" si="8"/>
        <v>63</v>
      </c>
      <c r="BC40" s="267">
        <v>2</v>
      </c>
      <c r="BD40" s="267">
        <v>66</v>
      </c>
      <c r="BE40" s="267">
        <f t="shared" si="9"/>
        <v>68</v>
      </c>
      <c r="BI40" s="267">
        <f t="shared" si="10"/>
        <v>0</v>
      </c>
    </row>
    <row r="41" spans="1:62" s="267" customFormat="1" ht="18" customHeight="1" x14ac:dyDescent="0.2">
      <c r="A41" s="283">
        <v>2014</v>
      </c>
      <c r="B41" s="266" t="s">
        <v>2250</v>
      </c>
      <c r="C41" s="284">
        <v>8</v>
      </c>
      <c r="D41" s="284">
        <v>22</v>
      </c>
      <c r="E41" s="287">
        <f t="shared" si="11"/>
        <v>30</v>
      </c>
      <c r="F41" s="266" t="s">
        <v>1023</v>
      </c>
      <c r="G41" s="266">
        <v>21</v>
      </c>
      <c r="H41" s="266">
        <v>10</v>
      </c>
      <c r="I41" s="269">
        <f t="shared" si="14"/>
        <v>31</v>
      </c>
      <c r="J41" s="284" t="s">
        <v>1178</v>
      </c>
      <c r="K41" s="284">
        <v>3</v>
      </c>
      <c r="L41" s="284">
        <v>29</v>
      </c>
      <c r="M41" s="287">
        <f t="shared" si="15"/>
        <v>32</v>
      </c>
      <c r="N41" s="284" t="s">
        <v>4281</v>
      </c>
      <c r="O41" s="284">
        <v>14</v>
      </c>
      <c r="P41" s="285">
        <v>24</v>
      </c>
      <c r="Q41" s="340">
        <f t="shared" ref="Q41:Q45" si="17">+O41+P41</f>
        <v>38</v>
      </c>
      <c r="U41" s="267">
        <v>37</v>
      </c>
      <c r="V41" s="267">
        <v>35</v>
      </c>
      <c r="W41" s="267">
        <f t="shared" si="1"/>
        <v>72</v>
      </c>
      <c r="AH41" s="267">
        <v>2</v>
      </c>
      <c r="AI41" s="267">
        <v>70</v>
      </c>
      <c r="AJ41" s="267">
        <f>+AH41+AI41</f>
        <v>72</v>
      </c>
      <c r="AL41" s="267">
        <v>5</v>
      </c>
      <c r="AM41" s="267">
        <v>57</v>
      </c>
      <c r="AN41" s="267">
        <f t="shared" si="5"/>
        <v>62</v>
      </c>
      <c r="AP41" s="267">
        <v>8</v>
      </c>
      <c r="AQ41" s="267">
        <v>54</v>
      </c>
      <c r="AR41" s="267">
        <f t="shared" si="6"/>
        <v>62</v>
      </c>
      <c r="AT41" s="267">
        <v>3</v>
      </c>
      <c r="AU41" s="267">
        <v>91</v>
      </c>
      <c r="AV41" s="267">
        <f t="shared" si="7"/>
        <v>94</v>
      </c>
      <c r="AY41" s="267">
        <v>31</v>
      </c>
      <c r="AZ41" s="267">
        <v>36</v>
      </c>
      <c r="BA41" s="267">
        <f t="shared" si="8"/>
        <v>67</v>
      </c>
      <c r="BC41" s="267">
        <v>23</v>
      </c>
      <c r="BD41" s="267">
        <v>69</v>
      </c>
      <c r="BE41" s="267">
        <f t="shared" si="9"/>
        <v>92</v>
      </c>
      <c r="BI41" s="267">
        <f t="shared" si="10"/>
        <v>0</v>
      </c>
    </row>
    <row r="42" spans="1:62" s="267" customFormat="1" ht="18" customHeight="1" x14ac:dyDescent="0.2">
      <c r="A42" s="283">
        <v>2015</v>
      </c>
      <c r="B42" s="266" t="s">
        <v>4450</v>
      </c>
      <c r="C42" s="284">
        <v>6</v>
      </c>
      <c r="D42" s="284">
        <v>24</v>
      </c>
      <c r="E42" s="287">
        <f>+D42+C42</f>
        <v>30</v>
      </c>
      <c r="F42" s="266" t="s">
        <v>1177</v>
      </c>
      <c r="G42" s="266">
        <v>7</v>
      </c>
      <c r="H42" s="266">
        <v>22</v>
      </c>
      <c r="I42" s="269">
        <f t="shared" ref="I42:I45" si="18">+H42+G42</f>
        <v>29</v>
      </c>
      <c r="J42" s="284" t="s">
        <v>1179</v>
      </c>
      <c r="K42" s="284">
        <v>11</v>
      </c>
      <c r="L42" s="284">
        <v>23</v>
      </c>
      <c r="M42" s="287">
        <f t="shared" si="15"/>
        <v>34</v>
      </c>
      <c r="N42" s="284" t="s">
        <v>316</v>
      </c>
      <c r="O42" s="284">
        <v>14</v>
      </c>
      <c r="P42" s="285">
        <v>24</v>
      </c>
      <c r="Q42" s="340">
        <f t="shared" si="17"/>
        <v>38</v>
      </c>
      <c r="U42" s="267">
        <v>25</v>
      </c>
      <c r="V42" s="267">
        <v>36</v>
      </c>
      <c r="W42" s="267">
        <f t="shared" si="1"/>
        <v>61</v>
      </c>
      <c r="Y42" s="267">
        <v>34</v>
      </c>
      <c r="AD42" s="267">
        <v>6</v>
      </c>
      <c r="AE42" s="267">
        <v>52</v>
      </c>
      <c r="AF42" s="267">
        <f>+AD42+AE42</f>
        <v>58</v>
      </c>
      <c r="AH42" s="267">
        <v>6</v>
      </c>
      <c r="AI42" s="267">
        <v>52</v>
      </c>
      <c r="AJ42" s="267">
        <f>+AH42+AI42</f>
        <v>58</v>
      </c>
      <c r="AL42" s="267">
        <v>43</v>
      </c>
      <c r="AM42" s="267">
        <v>19</v>
      </c>
      <c r="AN42" s="267">
        <f t="shared" si="5"/>
        <v>62</v>
      </c>
      <c r="AP42" s="267">
        <v>2</v>
      </c>
      <c r="AQ42" s="267">
        <v>61</v>
      </c>
      <c r="AR42" s="267">
        <f t="shared" si="6"/>
        <v>63</v>
      </c>
      <c r="AY42" s="267">
        <v>34</v>
      </c>
      <c r="AZ42" s="267">
        <v>36</v>
      </c>
      <c r="BA42" s="267">
        <f t="shared" si="8"/>
        <v>70</v>
      </c>
      <c r="BE42" s="267">
        <f t="shared" ref="BE42:BE43" si="19">+BC42+BD42</f>
        <v>0</v>
      </c>
      <c r="BI42" s="267">
        <f t="shared" si="10"/>
        <v>0</v>
      </c>
    </row>
    <row r="43" spans="1:62" s="267" customFormat="1" ht="18" customHeight="1" x14ac:dyDescent="0.2">
      <c r="A43" s="283">
        <v>2016</v>
      </c>
      <c r="B43" s="266" t="s">
        <v>1178</v>
      </c>
      <c r="C43" s="284">
        <v>7</v>
      </c>
      <c r="D43" s="284">
        <v>21</v>
      </c>
      <c r="E43" s="287">
        <f>+D43+C43</f>
        <v>28</v>
      </c>
      <c r="F43" s="266" t="s">
        <v>4453</v>
      </c>
      <c r="G43" s="266">
        <v>9</v>
      </c>
      <c r="H43" s="266">
        <v>22</v>
      </c>
      <c r="I43" s="269">
        <f t="shared" si="18"/>
        <v>31</v>
      </c>
      <c r="J43" s="284" t="s">
        <v>4411</v>
      </c>
      <c r="K43" s="284">
        <v>14</v>
      </c>
      <c r="L43" s="284">
        <v>22</v>
      </c>
      <c r="M43" s="287">
        <f t="shared" si="15"/>
        <v>36</v>
      </c>
      <c r="N43" s="284" t="s">
        <v>4615</v>
      </c>
      <c r="O43" s="284">
        <v>23</v>
      </c>
      <c r="P43" s="285">
        <v>14</v>
      </c>
      <c r="Q43" s="340">
        <f t="shared" si="17"/>
        <v>37</v>
      </c>
      <c r="U43" s="267">
        <v>14</v>
      </c>
      <c r="V43" s="267">
        <v>40</v>
      </c>
      <c r="W43" s="267">
        <f t="shared" si="1"/>
        <v>54</v>
      </c>
      <c r="AD43" s="267">
        <v>31</v>
      </c>
      <c r="AE43" s="285">
        <v>27</v>
      </c>
      <c r="AF43" s="267">
        <f>+AD43+AE43</f>
        <v>58</v>
      </c>
      <c r="AH43" s="267">
        <v>31</v>
      </c>
      <c r="AI43" s="285">
        <v>27</v>
      </c>
      <c r="AJ43" s="267">
        <f>+AH43+AI43</f>
        <v>58</v>
      </c>
      <c r="AL43" s="267">
        <v>31</v>
      </c>
      <c r="AM43" s="267">
        <v>32</v>
      </c>
      <c r="AN43" s="267">
        <f t="shared" si="5"/>
        <v>63</v>
      </c>
      <c r="AY43" s="267">
        <v>2</v>
      </c>
      <c r="AZ43" s="267">
        <v>78</v>
      </c>
      <c r="BA43" s="267">
        <f t="shared" si="8"/>
        <v>80</v>
      </c>
      <c r="BE43" s="267">
        <f t="shared" si="19"/>
        <v>0</v>
      </c>
      <c r="BI43" s="267">
        <f t="shared" si="10"/>
        <v>0</v>
      </c>
    </row>
    <row r="44" spans="1:62" s="267" customFormat="1" ht="18" customHeight="1" x14ac:dyDescent="0.2">
      <c r="A44" s="283">
        <v>2017</v>
      </c>
      <c r="B44" s="266" t="s">
        <v>4489</v>
      </c>
      <c r="C44" s="284">
        <v>7</v>
      </c>
      <c r="D44" s="284">
        <v>16</v>
      </c>
      <c r="E44" s="287">
        <f>+D44+C44</f>
        <v>23</v>
      </c>
      <c r="F44" s="266" t="s">
        <v>1150</v>
      </c>
      <c r="G44" s="266">
        <v>17</v>
      </c>
      <c r="H44" s="266">
        <v>13</v>
      </c>
      <c r="I44" s="269">
        <f t="shared" ref="I44" si="20">+H44+G44</f>
        <v>30</v>
      </c>
      <c r="J44" s="284" t="s">
        <v>4405</v>
      </c>
      <c r="K44" s="284">
        <v>18</v>
      </c>
      <c r="L44" s="284">
        <v>16</v>
      </c>
      <c r="M44" s="287">
        <f t="shared" si="15"/>
        <v>34</v>
      </c>
      <c r="N44" s="284" t="s">
        <v>1030</v>
      </c>
      <c r="O44" s="284">
        <v>27</v>
      </c>
      <c r="P44" s="285">
        <v>14</v>
      </c>
      <c r="Q44" s="340">
        <f t="shared" ref="Q44" si="21">+O44+P44</f>
        <v>41</v>
      </c>
      <c r="U44" s="267">
        <v>18</v>
      </c>
      <c r="V44" s="267">
        <v>43</v>
      </c>
      <c r="W44" s="267">
        <f t="shared" ref="W44" si="22">+U44+V44</f>
        <v>61</v>
      </c>
      <c r="AL44" s="267">
        <v>42</v>
      </c>
      <c r="AM44" s="267">
        <v>22</v>
      </c>
      <c r="AN44" s="267">
        <f t="shared" ref="AN44" si="23">+AL44+AM44</f>
        <v>64</v>
      </c>
    </row>
    <row r="45" spans="1:62" s="267" customFormat="1" ht="18" customHeight="1" x14ac:dyDescent="0.2">
      <c r="A45" s="283">
        <v>2018</v>
      </c>
      <c r="B45" s="266" t="s">
        <v>186</v>
      </c>
      <c r="C45" s="284">
        <v>8</v>
      </c>
      <c r="D45" s="284">
        <v>21</v>
      </c>
      <c r="E45" s="287">
        <f>+D45+C45</f>
        <v>29</v>
      </c>
      <c r="F45" s="266" t="s">
        <v>4489</v>
      </c>
      <c r="G45" s="266">
        <v>3</v>
      </c>
      <c r="H45" s="266">
        <v>20</v>
      </c>
      <c r="I45" s="269">
        <f t="shared" si="18"/>
        <v>23</v>
      </c>
      <c r="J45" s="284" t="s">
        <v>4613</v>
      </c>
      <c r="K45" s="284">
        <v>7</v>
      </c>
      <c r="L45" s="284">
        <v>25</v>
      </c>
      <c r="M45" s="287">
        <f t="shared" si="15"/>
        <v>32</v>
      </c>
      <c r="N45" s="284" t="s">
        <v>4614</v>
      </c>
      <c r="O45" s="284">
        <v>16</v>
      </c>
      <c r="P45" s="285">
        <v>18</v>
      </c>
      <c r="Q45" s="340">
        <f t="shared" si="17"/>
        <v>34</v>
      </c>
      <c r="U45" s="267">
        <v>18</v>
      </c>
      <c r="V45" s="267">
        <v>43</v>
      </c>
      <c r="W45" s="267">
        <f t="shared" si="1"/>
        <v>61</v>
      </c>
      <c r="AL45" s="267">
        <v>42</v>
      </c>
      <c r="AM45" s="267">
        <v>22</v>
      </c>
      <c r="AN45" s="267">
        <f t="shared" si="5"/>
        <v>64</v>
      </c>
    </row>
    <row r="46" spans="1:62" s="267" customFormat="1" ht="18" customHeight="1" x14ac:dyDescent="0.2">
      <c r="A46" s="283">
        <v>2019</v>
      </c>
      <c r="B46" s="266" t="s">
        <v>1179</v>
      </c>
      <c r="C46" s="284">
        <v>8</v>
      </c>
      <c r="D46" s="284">
        <v>17</v>
      </c>
      <c r="E46" s="287">
        <f>+D46+C46</f>
        <v>25</v>
      </c>
      <c r="F46" s="266" t="s">
        <v>4405</v>
      </c>
      <c r="G46" s="266">
        <v>9</v>
      </c>
      <c r="H46" s="266">
        <v>21</v>
      </c>
      <c r="I46" s="269">
        <f t="shared" ref="I46" si="24">+H46+G46</f>
        <v>30</v>
      </c>
      <c r="J46" s="284" t="s">
        <v>4864</v>
      </c>
      <c r="K46" s="284">
        <v>10</v>
      </c>
      <c r="L46" s="284">
        <v>23</v>
      </c>
      <c r="M46" s="287">
        <f t="shared" ref="M46" si="25">+L46+K46</f>
        <v>33</v>
      </c>
      <c r="N46" s="284" t="s">
        <v>401</v>
      </c>
      <c r="O46" s="284">
        <v>14</v>
      </c>
      <c r="P46" s="285">
        <v>22</v>
      </c>
      <c r="Q46" s="340">
        <f t="shared" ref="Q46" si="26">+O46+P46</f>
        <v>36</v>
      </c>
      <c r="U46" s="267">
        <v>11</v>
      </c>
      <c r="V46" s="285">
        <v>48</v>
      </c>
      <c r="W46" s="267">
        <f t="shared" si="1"/>
        <v>59</v>
      </c>
      <c r="AL46" s="267">
        <v>46</v>
      </c>
      <c r="AM46" s="267">
        <v>18</v>
      </c>
      <c r="AN46" s="267">
        <f t="shared" si="5"/>
        <v>64</v>
      </c>
    </row>
    <row r="47" spans="1:62" s="267" customFormat="1" ht="18" customHeight="1" x14ac:dyDescent="0.2">
      <c r="A47" s="652"/>
      <c r="B47" s="270"/>
      <c r="C47" s="271"/>
      <c r="D47" s="271"/>
      <c r="E47" s="272"/>
      <c r="F47" s="270"/>
      <c r="G47" s="271"/>
      <c r="H47" s="271"/>
      <c r="I47" s="272"/>
      <c r="J47" s="270"/>
      <c r="K47" s="271"/>
      <c r="L47" s="271"/>
      <c r="M47" s="272"/>
      <c r="N47" s="270"/>
      <c r="O47" s="271"/>
      <c r="P47" s="271"/>
      <c r="Q47" s="272">
        <f t="shared" si="16"/>
        <v>0</v>
      </c>
      <c r="U47" s="267">
        <v>6</v>
      </c>
      <c r="V47" s="267">
        <v>53</v>
      </c>
      <c r="W47" s="267">
        <f t="shared" si="1"/>
        <v>59</v>
      </c>
      <c r="AD47" s="267">
        <v>14</v>
      </c>
      <c r="AE47" s="267">
        <v>49</v>
      </c>
      <c r="AF47" s="267">
        <f>+AD47+AE47</f>
        <v>63</v>
      </c>
      <c r="AH47" s="267">
        <v>14</v>
      </c>
      <c r="AI47" s="267">
        <v>49</v>
      </c>
      <c r="AJ47" s="267">
        <f>+AH47+AI47</f>
        <v>63</v>
      </c>
      <c r="AL47" s="267">
        <v>9</v>
      </c>
      <c r="AM47" s="267">
        <v>56</v>
      </c>
      <c r="AN47" s="267">
        <f t="shared" si="5"/>
        <v>65</v>
      </c>
    </row>
    <row r="48" spans="1:62" s="267" customFormat="1" ht="18" customHeight="1" x14ac:dyDescent="0.2">
      <c r="A48" s="653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U48" s="267">
        <v>4</v>
      </c>
      <c r="V48" s="267">
        <v>55</v>
      </c>
      <c r="W48" s="267">
        <f t="shared" si="1"/>
        <v>59</v>
      </c>
      <c r="AD48" s="267">
        <v>36</v>
      </c>
      <c r="AE48" s="267">
        <v>31</v>
      </c>
      <c r="AF48" s="267">
        <f>+AD48+AE48</f>
        <v>67</v>
      </c>
      <c r="AH48" s="267">
        <v>36</v>
      </c>
      <c r="AI48" s="267">
        <v>31</v>
      </c>
      <c r="AJ48" s="267">
        <f>+AH48+AI48</f>
        <v>67</v>
      </c>
      <c r="AL48" s="267">
        <v>39</v>
      </c>
      <c r="AM48" s="267">
        <v>28</v>
      </c>
      <c r="AN48" s="267">
        <f t="shared" si="5"/>
        <v>67</v>
      </c>
    </row>
    <row r="49" spans="1:40" s="267" customFormat="1" ht="18" customHeight="1" x14ac:dyDescent="0.2">
      <c r="A49" s="653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U49" s="267">
        <v>15</v>
      </c>
      <c r="V49" s="267">
        <v>55</v>
      </c>
      <c r="W49" s="267">
        <f t="shared" si="1"/>
        <v>70</v>
      </c>
      <c r="AD49" s="267">
        <v>39</v>
      </c>
      <c r="AE49" s="267">
        <v>30</v>
      </c>
      <c r="AF49" s="267">
        <f>+AD49+AE49</f>
        <v>69</v>
      </c>
      <c r="AH49" s="267">
        <v>39</v>
      </c>
      <c r="AI49" s="267">
        <v>30</v>
      </c>
      <c r="AJ49" s="267">
        <f>+AH49+AI49</f>
        <v>69</v>
      </c>
      <c r="AL49" s="267">
        <v>41</v>
      </c>
      <c r="AM49" s="267">
        <v>27</v>
      </c>
      <c r="AN49" s="267">
        <f t="shared" si="5"/>
        <v>68</v>
      </c>
    </row>
    <row r="50" spans="1:40" s="267" customFormat="1" ht="18" customHeight="1" x14ac:dyDescent="0.2">
      <c r="A50" s="631"/>
      <c r="U50" s="267">
        <v>9</v>
      </c>
      <c r="V50" s="267">
        <v>56</v>
      </c>
      <c r="W50" s="267">
        <f t="shared" si="1"/>
        <v>65</v>
      </c>
      <c r="AL50" s="267">
        <v>45</v>
      </c>
      <c r="AM50" s="267">
        <v>23</v>
      </c>
      <c r="AN50" s="267">
        <f t="shared" si="5"/>
        <v>68</v>
      </c>
    </row>
    <row r="51" spans="1:40" s="267" customFormat="1" ht="18" customHeight="1" x14ac:dyDescent="0.2">
      <c r="A51" s="557" t="s">
        <v>4289</v>
      </c>
      <c r="B51" s="558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9"/>
      <c r="U51" s="267">
        <v>5</v>
      </c>
      <c r="V51" s="267">
        <v>57</v>
      </c>
      <c r="W51" s="267">
        <f t="shared" si="1"/>
        <v>62</v>
      </c>
      <c r="AL51" s="267">
        <v>15</v>
      </c>
      <c r="AM51" s="267">
        <v>55</v>
      </c>
      <c r="AN51" s="267">
        <f t="shared" si="5"/>
        <v>70</v>
      </c>
    </row>
    <row r="52" spans="1:40" s="267" customFormat="1" ht="18" customHeight="1" x14ac:dyDescent="0.2">
      <c r="A52" s="654"/>
      <c r="B52" s="273"/>
      <c r="C52" s="273" t="s">
        <v>3900</v>
      </c>
      <c r="D52" s="273"/>
      <c r="E52" s="273"/>
      <c r="F52" s="273"/>
      <c r="G52" s="553" t="s">
        <v>3901</v>
      </c>
      <c r="H52" s="553"/>
      <c r="I52" s="553"/>
      <c r="J52" s="274"/>
      <c r="K52" s="553" t="s">
        <v>3901</v>
      </c>
      <c r="L52" s="553"/>
      <c r="M52" s="556"/>
      <c r="U52" s="267">
        <v>2</v>
      </c>
      <c r="V52" s="267">
        <v>59</v>
      </c>
      <c r="W52" s="267">
        <f>+U52+V52</f>
        <v>61</v>
      </c>
      <c r="AL52" s="267">
        <v>37</v>
      </c>
      <c r="AM52" s="267">
        <v>35</v>
      </c>
      <c r="AN52" s="267">
        <f>+AL52+AM52</f>
        <v>72</v>
      </c>
    </row>
    <row r="53" spans="1:40" s="267" customFormat="1" ht="18" customHeight="1" x14ac:dyDescent="0.2">
      <c r="A53" s="655"/>
      <c r="B53" s="266"/>
      <c r="C53" s="266"/>
      <c r="D53" s="266"/>
      <c r="E53" s="266"/>
      <c r="F53" s="266"/>
      <c r="G53" s="554" t="s">
        <v>3905</v>
      </c>
      <c r="H53" s="554"/>
      <c r="I53" s="554"/>
      <c r="J53" s="276"/>
      <c r="K53" s="554" t="s">
        <v>3906</v>
      </c>
      <c r="L53" s="554"/>
      <c r="M53" s="555"/>
      <c r="U53" s="267">
        <v>1</v>
      </c>
      <c r="V53" s="267">
        <v>78</v>
      </c>
      <c r="W53" s="267">
        <f>+U53+V53</f>
        <v>79</v>
      </c>
      <c r="AL53" s="267">
        <v>1</v>
      </c>
      <c r="AM53" s="267">
        <v>78</v>
      </c>
      <c r="AN53" s="267">
        <f>+AL53+AM53</f>
        <v>79</v>
      </c>
    </row>
    <row r="54" spans="1:40" s="267" customFormat="1" ht="18" customHeight="1" x14ac:dyDescent="0.2">
      <c r="A54" s="655">
        <v>1</v>
      </c>
      <c r="B54" s="266" t="s">
        <v>316</v>
      </c>
      <c r="C54" s="266"/>
      <c r="D54" s="266"/>
      <c r="E54" s="266">
        <v>2</v>
      </c>
      <c r="F54" s="266" t="str">
        <f t="shared" ref="F54:F91" si="27">+B54</f>
        <v>Telfordaires</v>
      </c>
      <c r="G54" s="266"/>
      <c r="H54" s="266"/>
      <c r="I54" s="266">
        <v>5</v>
      </c>
      <c r="J54" s="266" t="str">
        <f t="shared" ref="J54:J91" si="28">+B54</f>
        <v>Telfordaires</v>
      </c>
      <c r="K54" s="266"/>
      <c r="L54" s="266"/>
      <c r="M54" s="269">
        <v>4</v>
      </c>
      <c r="N54" s="277">
        <f t="shared" ref="N54:N91" si="29">+E54+I54+M54</f>
        <v>11</v>
      </c>
    </row>
    <row r="55" spans="1:40" s="267" customFormat="1" ht="18" customHeight="1" x14ac:dyDescent="0.2">
      <c r="A55" s="655">
        <v>2</v>
      </c>
      <c r="B55" s="266" t="s">
        <v>4281</v>
      </c>
      <c r="C55" s="266"/>
      <c r="D55" s="266"/>
      <c r="E55" s="266">
        <v>6</v>
      </c>
      <c r="F55" s="266" t="str">
        <f t="shared" si="27"/>
        <v>Cambridge Chord Co</v>
      </c>
      <c r="G55" s="266"/>
      <c r="H55" s="266"/>
      <c r="I55" s="266">
        <v>2</v>
      </c>
      <c r="J55" s="266" t="str">
        <f t="shared" si="28"/>
        <v>Cambridge Chord Co</v>
      </c>
      <c r="K55" s="266"/>
      <c r="L55" s="266"/>
      <c r="M55" s="269">
        <v>1</v>
      </c>
      <c r="N55" s="277">
        <f t="shared" si="29"/>
        <v>9</v>
      </c>
    </row>
    <row r="56" spans="1:40" s="267" customFormat="1" ht="18" customHeight="1" x14ac:dyDescent="0.2">
      <c r="A56" s="655">
        <v>3</v>
      </c>
      <c r="B56" s="266" t="s">
        <v>2011</v>
      </c>
      <c r="C56" s="266"/>
      <c r="D56" s="266"/>
      <c r="E56" s="266">
        <v>3</v>
      </c>
      <c r="F56" s="266" t="str">
        <f t="shared" si="27"/>
        <v>Tuxedo Junction</v>
      </c>
      <c r="G56" s="266"/>
      <c r="H56" s="266"/>
      <c r="I56" s="266">
        <v>5</v>
      </c>
      <c r="J56" s="266" t="str">
        <f t="shared" si="28"/>
        <v>Tuxedo Junction</v>
      </c>
      <c r="K56" s="266"/>
      <c r="L56" s="266"/>
      <c r="M56" s="269">
        <v>0</v>
      </c>
      <c r="N56" s="277">
        <f t="shared" si="29"/>
        <v>8</v>
      </c>
    </row>
    <row r="57" spans="1:40" s="267" customFormat="1" ht="18" customHeight="1" x14ac:dyDescent="0.2">
      <c r="A57" s="655">
        <v>4</v>
      </c>
      <c r="B57" s="266" t="s">
        <v>4282</v>
      </c>
      <c r="C57" s="266"/>
      <c r="D57" s="266"/>
      <c r="E57" s="266">
        <v>3</v>
      </c>
      <c r="F57" s="266" t="str">
        <f t="shared" si="27"/>
        <v>Solent City Chorus</v>
      </c>
      <c r="G57" s="266"/>
      <c r="H57" s="266"/>
      <c r="I57" s="266">
        <v>2</v>
      </c>
      <c r="J57" s="266" t="str">
        <f t="shared" si="28"/>
        <v>Solent City Chorus</v>
      </c>
      <c r="K57" s="266"/>
      <c r="L57" s="266"/>
      <c r="M57" s="269">
        <v>3</v>
      </c>
      <c r="N57" s="277">
        <f t="shared" si="29"/>
        <v>8</v>
      </c>
    </row>
    <row r="58" spans="1:40" s="267" customFormat="1" ht="18" customHeight="1" x14ac:dyDescent="0.2">
      <c r="A58" s="655">
        <v>5</v>
      </c>
      <c r="B58" s="266" t="s">
        <v>1150</v>
      </c>
      <c r="C58" s="266"/>
      <c r="D58" s="266"/>
      <c r="E58" s="266">
        <v>2</v>
      </c>
      <c r="F58" s="266" t="str">
        <f t="shared" si="27"/>
        <v>Mantunian Way</v>
      </c>
      <c r="G58" s="266"/>
      <c r="H58" s="266"/>
      <c r="I58" s="266">
        <v>1</v>
      </c>
      <c r="J58" s="266" t="str">
        <f t="shared" si="28"/>
        <v>Mantunian Way</v>
      </c>
      <c r="K58" s="266"/>
      <c r="L58" s="266"/>
      <c r="M58" s="269">
        <v>3</v>
      </c>
      <c r="N58" s="277">
        <f t="shared" si="29"/>
        <v>6</v>
      </c>
    </row>
    <row r="59" spans="1:40" s="267" customFormat="1" ht="18" customHeight="1" x14ac:dyDescent="0.2">
      <c r="A59" s="655">
        <v>6</v>
      </c>
      <c r="B59" s="266" t="s">
        <v>4136</v>
      </c>
      <c r="C59" s="266"/>
      <c r="D59" s="266"/>
      <c r="E59" s="266">
        <v>1</v>
      </c>
      <c r="F59" s="266" t="str">
        <f t="shared" si="27"/>
        <v>The Royal Harmonics</v>
      </c>
      <c r="G59" s="266"/>
      <c r="H59" s="266"/>
      <c r="I59" s="266">
        <v>4</v>
      </c>
      <c r="J59" s="266" t="str">
        <f t="shared" si="28"/>
        <v>The Royal Harmonics</v>
      </c>
      <c r="K59" s="266"/>
      <c r="L59" s="266"/>
      <c r="M59" s="269">
        <v>1</v>
      </c>
      <c r="N59" s="277">
        <f t="shared" si="29"/>
        <v>6</v>
      </c>
    </row>
    <row r="60" spans="1:40" s="267" customFormat="1" ht="18" customHeight="1" x14ac:dyDescent="0.2">
      <c r="A60" s="655">
        <v>7</v>
      </c>
      <c r="B60" s="266" t="s">
        <v>4131</v>
      </c>
      <c r="C60" s="266"/>
      <c r="D60" s="266"/>
      <c r="E60" s="266">
        <v>1</v>
      </c>
      <c r="F60" s="266" t="str">
        <f t="shared" si="27"/>
        <v>The Rivertones</v>
      </c>
      <c r="G60" s="266"/>
      <c r="H60" s="266"/>
      <c r="I60" s="266">
        <v>2</v>
      </c>
      <c r="J60" s="266" t="str">
        <f t="shared" si="28"/>
        <v>The Rivertones</v>
      </c>
      <c r="K60" s="266"/>
      <c r="L60" s="266"/>
      <c r="M60" s="269">
        <v>3</v>
      </c>
      <c r="N60" s="277">
        <f t="shared" si="29"/>
        <v>6</v>
      </c>
    </row>
    <row r="61" spans="1:40" s="267" customFormat="1" ht="18" customHeight="1" x14ac:dyDescent="0.2">
      <c r="A61" s="655">
        <v>8</v>
      </c>
      <c r="B61" s="266" t="s">
        <v>319</v>
      </c>
      <c r="C61" s="266"/>
      <c r="D61" s="266"/>
      <c r="E61" s="266">
        <v>1</v>
      </c>
      <c r="F61" s="266" t="str">
        <f t="shared" si="27"/>
        <v>Capital Chorus</v>
      </c>
      <c r="G61" s="266"/>
      <c r="H61" s="266"/>
      <c r="I61" s="266">
        <v>1</v>
      </c>
      <c r="J61" s="266" t="str">
        <f t="shared" si="28"/>
        <v>Capital Chorus</v>
      </c>
      <c r="K61" s="266"/>
      <c r="L61" s="266"/>
      <c r="M61" s="269">
        <v>4</v>
      </c>
      <c r="N61" s="277">
        <f t="shared" si="29"/>
        <v>6</v>
      </c>
    </row>
    <row r="62" spans="1:40" s="267" customFormat="1" ht="18" customHeight="1" x14ac:dyDescent="0.2">
      <c r="A62" s="655">
        <v>9</v>
      </c>
      <c r="B62" s="266" t="s">
        <v>4132</v>
      </c>
      <c r="C62" s="266"/>
      <c r="D62" s="266"/>
      <c r="E62" s="266">
        <v>2</v>
      </c>
      <c r="F62" s="266" t="str">
        <f t="shared" si="27"/>
        <v>Knights of Harmony (Chesham Buckaneers)</v>
      </c>
      <c r="G62" s="266"/>
      <c r="H62" s="266"/>
      <c r="I62" s="266">
        <v>1</v>
      </c>
      <c r="J62" s="266" t="str">
        <f t="shared" si="28"/>
        <v>Knights of Harmony (Chesham Buckaneers)</v>
      </c>
      <c r="K62" s="266"/>
      <c r="L62" s="266"/>
      <c r="M62" s="269">
        <v>2</v>
      </c>
      <c r="N62" s="277">
        <f t="shared" si="29"/>
        <v>5</v>
      </c>
    </row>
    <row r="63" spans="1:40" s="267" customFormat="1" ht="18" customHeight="1" x14ac:dyDescent="0.2">
      <c r="A63" s="655">
        <v>10</v>
      </c>
      <c r="B63" s="264" t="s">
        <v>4284</v>
      </c>
      <c r="C63" s="266"/>
      <c r="D63" s="266"/>
      <c r="E63" s="266">
        <v>2</v>
      </c>
      <c r="F63" s="266" t="str">
        <f t="shared" si="27"/>
        <v>Men of Gwent</v>
      </c>
      <c r="G63" s="266"/>
      <c r="H63" s="266"/>
      <c r="I63" s="266">
        <v>2</v>
      </c>
      <c r="J63" s="266" t="str">
        <f t="shared" si="28"/>
        <v>Men of Gwent</v>
      </c>
      <c r="K63" s="266"/>
      <c r="L63" s="266"/>
      <c r="M63" s="269">
        <v>0</v>
      </c>
      <c r="N63" s="277">
        <f t="shared" si="29"/>
        <v>4</v>
      </c>
    </row>
    <row r="64" spans="1:40" s="267" customFormat="1" ht="18" customHeight="1" x14ac:dyDescent="0.2">
      <c r="A64" s="655">
        <v>11</v>
      </c>
      <c r="B64" s="264" t="s">
        <v>4107</v>
      </c>
      <c r="C64" s="266"/>
      <c r="D64" s="266"/>
      <c r="E64" s="266">
        <v>2</v>
      </c>
      <c r="F64" s="266" t="str">
        <f t="shared" si="27"/>
        <v>Shannon Express</v>
      </c>
      <c r="G64" s="266"/>
      <c r="H64" s="266"/>
      <c r="I64" s="266">
        <v>0</v>
      </c>
      <c r="J64" s="266" t="str">
        <f t="shared" si="28"/>
        <v>Shannon Express</v>
      </c>
      <c r="K64" s="266"/>
      <c r="L64" s="266"/>
      <c r="M64" s="269">
        <v>2</v>
      </c>
      <c r="N64" s="277">
        <f t="shared" si="29"/>
        <v>4</v>
      </c>
    </row>
    <row r="65" spans="1:14" s="267" customFormat="1" ht="18" customHeight="1" x14ac:dyDescent="0.2">
      <c r="A65" s="655">
        <v>12</v>
      </c>
      <c r="B65" s="264" t="s">
        <v>2568</v>
      </c>
      <c r="C65" s="266"/>
      <c r="D65" s="266"/>
      <c r="E65" s="266">
        <v>1</v>
      </c>
      <c r="F65" s="266" t="str">
        <f t="shared" si="27"/>
        <v>White Horse Harmony</v>
      </c>
      <c r="G65" s="266"/>
      <c r="H65" s="266"/>
      <c r="I65" s="266">
        <v>1</v>
      </c>
      <c r="J65" s="266" t="str">
        <f t="shared" si="28"/>
        <v>White Horse Harmony</v>
      </c>
      <c r="K65" s="266"/>
      <c r="L65" s="266"/>
      <c r="M65" s="269">
        <v>2</v>
      </c>
      <c r="N65" s="277">
        <f t="shared" si="29"/>
        <v>4</v>
      </c>
    </row>
    <row r="66" spans="1:14" s="267" customFormat="1" ht="18" customHeight="1" x14ac:dyDescent="0.2">
      <c r="A66" s="655">
        <v>13</v>
      </c>
      <c r="B66" s="266" t="s">
        <v>4288</v>
      </c>
      <c r="C66" s="266"/>
      <c r="D66" s="266"/>
      <c r="E66" s="266">
        <v>1</v>
      </c>
      <c r="F66" s="266" t="str">
        <f t="shared" si="27"/>
        <v>Western Approach</v>
      </c>
      <c r="G66" s="266"/>
      <c r="H66" s="266"/>
      <c r="I66" s="266">
        <v>1</v>
      </c>
      <c r="J66" s="266" t="str">
        <f t="shared" si="28"/>
        <v>Western Approach</v>
      </c>
      <c r="K66" s="266"/>
      <c r="L66" s="266"/>
      <c r="M66" s="269">
        <v>2</v>
      </c>
      <c r="N66" s="277">
        <f t="shared" si="29"/>
        <v>4</v>
      </c>
    </row>
    <row r="67" spans="1:14" s="267" customFormat="1" ht="18" customHeight="1" x14ac:dyDescent="0.2">
      <c r="A67" s="655">
        <v>14</v>
      </c>
      <c r="B67" s="266" t="s">
        <v>2566</v>
      </c>
      <c r="C67" s="266"/>
      <c r="D67" s="266"/>
      <c r="E67" s="266">
        <v>1</v>
      </c>
      <c r="F67" s="266" t="str">
        <f t="shared" si="27"/>
        <v>Anvil Chorus</v>
      </c>
      <c r="G67" s="266"/>
      <c r="H67" s="266"/>
      <c r="I67" s="266">
        <v>0</v>
      </c>
      <c r="J67" s="266" t="str">
        <f t="shared" si="28"/>
        <v>Anvil Chorus</v>
      </c>
      <c r="K67" s="266"/>
      <c r="L67" s="266"/>
      <c r="M67" s="269">
        <v>3</v>
      </c>
      <c r="N67" s="277">
        <f t="shared" si="29"/>
        <v>4</v>
      </c>
    </row>
    <row r="68" spans="1:14" s="267" customFormat="1" ht="18" customHeight="1" x14ac:dyDescent="0.2">
      <c r="A68" s="655">
        <v>15</v>
      </c>
      <c r="B68" s="264" t="s">
        <v>4103</v>
      </c>
      <c r="C68" s="266"/>
      <c r="D68" s="266"/>
      <c r="E68" s="266">
        <v>2</v>
      </c>
      <c r="F68" s="266" t="str">
        <f t="shared" si="27"/>
        <v>Wight Harmony</v>
      </c>
      <c r="G68" s="266"/>
      <c r="H68" s="266"/>
      <c r="I68" s="266">
        <v>1</v>
      </c>
      <c r="J68" s="266" t="str">
        <f t="shared" si="28"/>
        <v>Wight Harmony</v>
      </c>
      <c r="K68" s="266"/>
      <c r="L68" s="266"/>
      <c r="M68" s="269">
        <v>0</v>
      </c>
      <c r="N68" s="277">
        <f t="shared" si="29"/>
        <v>3</v>
      </c>
    </row>
    <row r="69" spans="1:14" s="267" customFormat="1" ht="18" customHeight="1" x14ac:dyDescent="0.2">
      <c r="A69" s="655">
        <v>16</v>
      </c>
      <c r="B69" s="266" t="s">
        <v>4127</v>
      </c>
      <c r="C69" s="266"/>
      <c r="D69" s="266"/>
      <c r="E69" s="266">
        <v>0</v>
      </c>
      <c r="F69" s="266" t="str">
        <f t="shared" si="27"/>
        <v>The Red Rose Chorus</v>
      </c>
      <c r="G69" s="266"/>
      <c r="H69" s="266"/>
      <c r="I69" s="266">
        <v>1</v>
      </c>
      <c r="J69" s="266" t="str">
        <f t="shared" si="28"/>
        <v>The Red Rose Chorus</v>
      </c>
      <c r="K69" s="266"/>
      <c r="L69" s="266"/>
      <c r="M69" s="269">
        <v>2</v>
      </c>
      <c r="N69" s="277">
        <f t="shared" si="29"/>
        <v>3</v>
      </c>
    </row>
    <row r="70" spans="1:14" s="267" customFormat="1" ht="18" customHeight="1" x14ac:dyDescent="0.2">
      <c r="A70" s="655">
        <v>17</v>
      </c>
      <c r="B70" s="264" t="s">
        <v>4285</v>
      </c>
      <c r="C70" s="266"/>
      <c r="D70" s="266"/>
      <c r="E70" s="266">
        <v>2</v>
      </c>
      <c r="F70" s="266" t="str">
        <f t="shared" si="27"/>
        <v>Worthingaires</v>
      </c>
      <c r="G70" s="266"/>
      <c r="H70" s="266"/>
      <c r="I70" s="266">
        <v>0</v>
      </c>
      <c r="J70" s="266" t="str">
        <f t="shared" si="28"/>
        <v>Worthingaires</v>
      </c>
      <c r="K70" s="266"/>
      <c r="L70" s="266"/>
      <c r="M70" s="269">
        <v>0</v>
      </c>
      <c r="N70" s="277">
        <f t="shared" si="29"/>
        <v>2</v>
      </c>
    </row>
    <row r="71" spans="1:14" s="267" customFormat="1" ht="18" customHeight="1" x14ac:dyDescent="0.2">
      <c r="A71" s="655">
        <v>18</v>
      </c>
      <c r="B71" s="264" t="s">
        <v>4286</v>
      </c>
      <c r="C71" s="266"/>
      <c r="D71" s="266"/>
      <c r="E71" s="266">
        <v>1</v>
      </c>
      <c r="F71" s="266" t="str">
        <f t="shared" si="27"/>
        <v>White Rose BS</v>
      </c>
      <c r="G71" s="266"/>
      <c r="H71" s="266"/>
      <c r="I71" s="266">
        <v>1</v>
      </c>
      <c r="J71" s="266" t="str">
        <f t="shared" si="28"/>
        <v>White Rose BS</v>
      </c>
      <c r="K71" s="266"/>
      <c r="L71" s="266"/>
      <c r="M71" s="269">
        <v>0</v>
      </c>
      <c r="N71" s="277">
        <f t="shared" si="29"/>
        <v>2</v>
      </c>
    </row>
    <row r="72" spans="1:14" s="267" customFormat="1" ht="18" customHeight="1" x14ac:dyDescent="0.2">
      <c r="A72" s="655">
        <v>19</v>
      </c>
      <c r="B72" s="266" t="s">
        <v>4489</v>
      </c>
      <c r="C72" s="266"/>
      <c r="D72" s="266"/>
      <c r="E72" s="266">
        <v>1</v>
      </c>
      <c r="F72" s="266" t="str">
        <f t="shared" si="27"/>
        <v>Meantime</v>
      </c>
      <c r="G72" s="266"/>
      <c r="H72" s="266"/>
      <c r="I72" s="266">
        <v>1</v>
      </c>
      <c r="J72" s="266" t="str">
        <f t="shared" si="28"/>
        <v>Meantime</v>
      </c>
      <c r="K72" s="266"/>
      <c r="L72" s="266"/>
      <c r="M72" s="269">
        <v>0</v>
      </c>
      <c r="N72" s="277">
        <f t="shared" si="29"/>
        <v>2</v>
      </c>
    </row>
    <row r="73" spans="1:14" s="267" customFormat="1" ht="18" customHeight="1" x14ac:dyDescent="0.2">
      <c r="A73" s="655">
        <v>20</v>
      </c>
      <c r="B73" s="266" t="s">
        <v>4113</v>
      </c>
      <c r="C73" s="266"/>
      <c r="D73" s="266"/>
      <c r="E73" s="266">
        <v>1</v>
      </c>
      <c r="F73" s="266" t="str">
        <f t="shared" si="27"/>
        <v>Bradford B S Singers - (Chordbusters Inc)</v>
      </c>
      <c r="G73" s="266"/>
      <c r="H73" s="266"/>
      <c r="I73" s="266">
        <v>0</v>
      </c>
      <c r="J73" s="266" t="str">
        <f t="shared" si="28"/>
        <v>Bradford B S Singers - (Chordbusters Inc)</v>
      </c>
      <c r="K73" s="266"/>
      <c r="L73" s="266"/>
      <c r="M73" s="269">
        <v>1</v>
      </c>
      <c r="N73" s="277">
        <f t="shared" si="29"/>
        <v>2</v>
      </c>
    </row>
    <row r="74" spans="1:14" s="267" customFormat="1" ht="18" customHeight="1" x14ac:dyDescent="0.2">
      <c r="A74" s="655">
        <v>21</v>
      </c>
      <c r="B74" s="266" t="s">
        <v>1950</v>
      </c>
      <c r="C74" s="266"/>
      <c r="D74" s="266"/>
      <c r="E74" s="266">
        <v>1</v>
      </c>
      <c r="F74" s="266" t="str">
        <f t="shared" si="27"/>
        <v>Gentlemen Songsters</v>
      </c>
      <c r="G74" s="266"/>
      <c r="H74" s="266"/>
      <c r="I74" s="266">
        <v>0</v>
      </c>
      <c r="J74" s="266" t="str">
        <f t="shared" si="28"/>
        <v>Gentlemen Songsters</v>
      </c>
      <c r="K74" s="266"/>
      <c r="L74" s="266"/>
      <c r="M74" s="269">
        <v>1</v>
      </c>
      <c r="N74" s="277">
        <f t="shared" si="29"/>
        <v>2</v>
      </c>
    </row>
    <row r="75" spans="1:14" s="267" customFormat="1" ht="18" customHeight="1" x14ac:dyDescent="0.2">
      <c r="A75" s="655">
        <v>22</v>
      </c>
      <c r="B75" s="264" t="s">
        <v>322</v>
      </c>
      <c r="C75" s="266"/>
      <c r="D75" s="266"/>
      <c r="E75" s="266">
        <v>1</v>
      </c>
      <c r="F75" s="266" t="str">
        <f t="shared" si="27"/>
        <v>Westering Chorus (Bridgwater)</v>
      </c>
      <c r="G75" s="266"/>
      <c r="H75" s="266"/>
      <c r="I75" s="266">
        <v>0</v>
      </c>
      <c r="J75" s="266" t="str">
        <f t="shared" si="28"/>
        <v>Westering Chorus (Bridgwater)</v>
      </c>
      <c r="K75" s="266"/>
      <c r="L75" s="266"/>
      <c r="M75" s="269">
        <v>1</v>
      </c>
      <c r="N75" s="277">
        <f t="shared" si="29"/>
        <v>2</v>
      </c>
    </row>
    <row r="76" spans="1:14" s="267" customFormat="1" ht="18" customHeight="1" x14ac:dyDescent="0.2">
      <c r="A76" s="655">
        <v>23</v>
      </c>
      <c r="B76" s="264" t="s">
        <v>4106</v>
      </c>
      <c r="C76" s="266"/>
      <c r="D76" s="266"/>
      <c r="E76" s="266">
        <v>1</v>
      </c>
      <c r="F76" s="266" t="str">
        <f t="shared" si="27"/>
        <v>Surrey Fringe</v>
      </c>
      <c r="G76" s="266"/>
      <c r="H76" s="266"/>
      <c r="I76" s="266">
        <v>0</v>
      </c>
      <c r="J76" s="266" t="str">
        <f t="shared" si="28"/>
        <v>Surrey Fringe</v>
      </c>
      <c r="K76" s="266"/>
      <c r="L76" s="266"/>
      <c r="M76" s="269">
        <v>1</v>
      </c>
      <c r="N76" s="277">
        <f t="shared" si="29"/>
        <v>2</v>
      </c>
    </row>
    <row r="77" spans="1:14" s="267" customFormat="1" ht="18" customHeight="1" x14ac:dyDescent="0.2">
      <c r="A77" s="655">
        <v>24</v>
      </c>
      <c r="B77" s="266" t="s">
        <v>4287</v>
      </c>
      <c r="C77" s="266"/>
      <c r="D77" s="266"/>
      <c r="E77" s="266">
        <v>0</v>
      </c>
      <c r="F77" s="266" t="str">
        <f t="shared" si="27"/>
        <v>Rainy City Chorus</v>
      </c>
      <c r="G77" s="266"/>
      <c r="H77" s="266"/>
      <c r="I77" s="266">
        <v>2</v>
      </c>
      <c r="J77" s="266" t="str">
        <f t="shared" si="28"/>
        <v>Rainy City Chorus</v>
      </c>
      <c r="K77" s="266"/>
      <c r="L77" s="266"/>
      <c r="M77" s="269">
        <v>0</v>
      </c>
      <c r="N77" s="277">
        <f t="shared" si="29"/>
        <v>2</v>
      </c>
    </row>
    <row r="78" spans="1:14" s="267" customFormat="1" ht="18" customHeight="1" x14ac:dyDescent="0.2">
      <c r="A78" s="655">
        <v>25</v>
      </c>
      <c r="B78" s="266" t="s">
        <v>4276</v>
      </c>
      <c r="C78" s="266"/>
      <c r="D78" s="266"/>
      <c r="E78" s="266">
        <v>0</v>
      </c>
      <c r="F78" s="266" t="str">
        <f t="shared" si="27"/>
        <v>5 Ways</v>
      </c>
      <c r="G78" s="266"/>
      <c r="H78" s="266"/>
      <c r="I78" s="266">
        <v>1</v>
      </c>
      <c r="J78" s="266" t="str">
        <f t="shared" si="28"/>
        <v>5 Ways</v>
      </c>
      <c r="K78" s="266"/>
      <c r="L78" s="266"/>
      <c r="M78" s="269">
        <v>1</v>
      </c>
      <c r="N78" s="575">
        <f t="shared" si="29"/>
        <v>2</v>
      </c>
    </row>
    <row r="79" spans="1:14" s="267" customFormat="1" ht="18" customHeight="1" x14ac:dyDescent="0.2">
      <c r="A79" s="655">
        <v>26</v>
      </c>
      <c r="B79" s="266" t="s">
        <v>4405</v>
      </c>
      <c r="C79" s="266"/>
      <c r="D79" s="266"/>
      <c r="E79" s="266">
        <v>0</v>
      </c>
      <c r="F79" s="266" t="str">
        <f t="shared" si="27"/>
        <v>Vocal Fusion</v>
      </c>
      <c r="G79" s="266"/>
      <c r="H79" s="266"/>
      <c r="I79" s="266">
        <v>1</v>
      </c>
      <c r="J79" s="266" t="str">
        <f t="shared" si="28"/>
        <v>Vocal Fusion</v>
      </c>
      <c r="K79" s="266"/>
      <c r="L79" s="266"/>
      <c r="M79" s="269">
        <v>1</v>
      </c>
      <c r="N79" s="277">
        <f t="shared" si="29"/>
        <v>2</v>
      </c>
    </row>
    <row r="80" spans="1:14" s="267" customFormat="1" ht="18" customHeight="1" x14ac:dyDescent="0.2">
      <c r="A80" s="655">
        <v>27</v>
      </c>
      <c r="B80" s="266" t="s">
        <v>1954</v>
      </c>
      <c r="C80" s="266"/>
      <c r="D80" s="266"/>
      <c r="E80" s="266">
        <v>1</v>
      </c>
      <c r="F80" s="266" t="str">
        <f t="shared" si="27"/>
        <v>Fine City Chorus</v>
      </c>
      <c r="G80" s="266"/>
      <c r="H80" s="266"/>
      <c r="I80" s="266">
        <v>0</v>
      </c>
      <c r="J80" s="266" t="str">
        <f t="shared" si="28"/>
        <v>Fine City Chorus</v>
      </c>
      <c r="K80" s="266"/>
      <c r="L80" s="266"/>
      <c r="M80" s="269">
        <v>0</v>
      </c>
      <c r="N80" s="277">
        <f t="shared" si="29"/>
        <v>1</v>
      </c>
    </row>
    <row r="81" spans="1:14" s="267" customFormat="1" ht="18" customHeight="1" x14ac:dyDescent="0.2">
      <c r="A81" s="655">
        <v>28</v>
      </c>
      <c r="B81" s="266" t="s">
        <v>4275</v>
      </c>
      <c r="C81" s="266"/>
      <c r="D81" s="266"/>
      <c r="E81" s="266">
        <v>1</v>
      </c>
      <c r="F81" s="266" t="str">
        <f t="shared" si="27"/>
        <v>Sussex B S Singers</v>
      </c>
      <c r="G81" s="266"/>
      <c r="H81" s="266"/>
      <c r="I81" s="266">
        <v>0</v>
      </c>
      <c r="J81" s="266" t="str">
        <f t="shared" si="28"/>
        <v>Sussex B S Singers</v>
      </c>
      <c r="K81" s="266"/>
      <c r="L81" s="266"/>
      <c r="M81" s="269">
        <v>0</v>
      </c>
      <c r="N81" s="277">
        <f t="shared" si="29"/>
        <v>1</v>
      </c>
    </row>
    <row r="82" spans="1:14" s="267" customFormat="1" ht="18" customHeight="1" x14ac:dyDescent="0.2">
      <c r="A82" s="655">
        <v>29</v>
      </c>
      <c r="B82" s="266" t="s">
        <v>338</v>
      </c>
      <c r="C82" s="266"/>
      <c r="D82" s="266"/>
      <c r="E82" s="266">
        <v>1</v>
      </c>
      <c r="F82" s="266" t="str">
        <f t="shared" si="27"/>
        <v>Grand Central</v>
      </c>
      <c r="G82" s="266"/>
      <c r="H82" s="266"/>
      <c r="I82" s="266">
        <v>0</v>
      </c>
      <c r="J82" s="266" t="str">
        <f t="shared" si="28"/>
        <v>Grand Central</v>
      </c>
      <c r="K82" s="266"/>
      <c r="L82" s="266"/>
      <c r="M82" s="269">
        <v>0</v>
      </c>
      <c r="N82" s="277">
        <f t="shared" si="29"/>
        <v>1</v>
      </c>
    </row>
    <row r="83" spans="1:14" s="267" customFormat="1" ht="18" customHeight="1" x14ac:dyDescent="0.2">
      <c r="A83" s="655">
        <v>30</v>
      </c>
      <c r="B83" s="266" t="s">
        <v>1023</v>
      </c>
      <c r="C83" s="266"/>
      <c r="D83" s="266"/>
      <c r="E83" s="266">
        <v>0</v>
      </c>
      <c r="F83" s="266" t="str">
        <f t="shared" si="27"/>
        <v>Sound Company</v>
      </c>
      <c r="G83" s="266"/>
      <c r="H83" s="266"/>
      <c r="I83" s="266">
        <v>1</v>
      </c>
      <c r="J83" s="266" t="str">
        <f t="shared" si="28"/>
        <v>Sound Company</v>
      </c>
      <c r="K83" s="266"/>
      <c r="L83" s="266"/>
      <c r="M83" s="269">
        <v>0</v>
      </c>
      <c r="N83" s="277">
        <f t="shared" si="29"/>
        <v>1</v>
      </c>
    </row>
    <row r="84" spans="1:14" s="267" customFormat="1" ht="18" customHeight="1" x14ac:dyDescent="0.2">
      <c r="A84" s="655">
        <v>31</v>
      </c>
      <c r="B84" s="266" t="s">
        <v>323</v>
      </c>
      <c r="C84" s="266"/>
      <c r="D84" s="266"/>
      <c r="E84" s="266">
        <v>0</v>
      </c>
      <c r="F84" s="266" t="str">
        <f t="shared" si="27"/>
        <v>Nottingham Gateway Chorus</v>
      </c>
      <c r="G84" s="266"/>
      <c r="H84" s="266"/>
      <c r="I84" s="266">
        <v>1</v>
      </c>
      <c r="J84" s="266" t="str">
        <f t="shared" si="28"/>
        <v>Nottingham Gateway Chorus</v>
      </c>
      <c r="K84" s="266"/>
      <c r="L84" s="266"/>
      <c r="M84" s="269">
        <v>0</v>
      </c>
      <c r="N84" s="277">
        <f t="shared" si="29"/>
        <v>1</v>
      </c>
    </row>
    <row r="85" spans="1:14" s="267" customFormat="1" ht="18" customHeight="1" x14ac:dyDescent="0.2">
      <c r="A85" s="655">
        <v>32</v>
      </c>
      <c r="B85" s="266" t="s">
        <v>325</v>
      </c>
      <c r="C85" s="266"/>
      <c r="D85" s="266"/>
      <c r="E85" s="266">
        <v>0</v>
      </c>
      <c r="F85" s="266" t="str">
        <f t="shared" si="27"/>
        <v>Jubilee City Chorus (Derby)</v>
      </c>
      <c r="G85" s="266"/>
      <c r="H85" s="266"/>
      <c r="I85" s="266">
        <v>1</v>
      </c>
      <c r="J85" s="266" t="str">
        <f t="shared" si="28"/>
        <v>Jubilee City Chorus (Derby)</v>
      </c>
      <c r="K85" s="266"/>
      <c r="L85" s="266"/>
      <c r="M85" s="269">
        <v>0</v>
      </c>
      <c r="N85" s="277">
        <f t="shared" si="29"/>
        <v>1</v>
      </c>
    </row>
    <row r="86" spans="1:14" s="267" customFormat="1" ht="18" customHeight="1" x14ac:dyDescent="0.2">
      <c r="A86" s="655">
        <v>33</v>
      </c>
      <c r="B86" s="266" t="s">
        <v>117</v>
      </c>
      <c r="C86" s="266"/>
      <c r="D86" s="266"/>
      <c r="E86" s="266">
        <v>0</v>
      </c>
      <c r="F86" s="266" t="str">
        <f t="shared" si="27"/>
        <v>Thames Valley Chorus</v>
      </c>
      <c r="G86" s="266"/>
      <c r="H86" s="266"/>
      <c r="I86" s="266">
        <v>1</v>
      </c>
      <c r="J86" s="266" t="str">
        <f t="shared" si="28"/>
        <v>Thames Valley Chorus</v>
      </c>
      <c r="K86" s="266"/>
      <c r="L86" s="266"/>
      <c r="M86" s="269">
        <v>0</v>
      </c>
      <c r="N86" s="277">
        <f t="shared" si="29"/>
        <v>1</v>
      </c>
    </row>
    <row r="87" spans="1:14" s="267" customFormat="1" ht="18" customHeight="1" x14ac:dyDescent="0.2">
      <c r="A87" s="655">
        <v>34</v>
      </c>
      <c r="B87" s="266" t="s">
        <v>4110</v>
      </c>
      <c r="C87" s="266"/>
      <c r="D87" s="266"/>
      <c r="E87" s="266">
        <v>0</v>
      </c>
      <c r="F87" s="266" t="str">
        <f t="shared" si="27"/>
        <v>Ambassador Chorus</v>
      </c>
      <c r="G87" s="266"/>
      <c r="H87" s="266"/>
      <c r="I87" s="266">
        <v>1</v>
      </c>
      <c r="J87" s="266" t="str">
        <f t="shared" si="28"/>
        <v>Ambassador Chorus</v>
      </c>
      <c r="K87" s="266"/>
      <c r="L87" s="266"/>
      <c r="M87" s="269">
        <v>0</v>
      </c>
      <c r="N87" s="277">
        <f t="shared" si="29"/>
        <v>1</v>
      </c>
    </row>
    <row r="88" spans="1:14" s="267" customFormat="1" ht="18" customHeight="1" x14ac:dyDescent="0.2">
      <c r="A88" s="655">
        <v>35</v>
      </c>
      <c r="B88" s="266" t="s">
        <v>4118</v>
      </c>
      <c r="C88" s="266"/>
      <c r="D88" s="266"/>
      <c r="E88" s="266">
        <v>0</v>
      </c>
      <c r="F88" s="266" t="str">
        <f t="shared" si="27"/>
        <v>Spirit Of Harmony</v>
      </c>
      <c r="G88" s="266"/>
      <c r="H88" s="266"/>
      <c r="I88" s="266">
        <v>1</v>
      </c>
      <c r="J88" s="266" t="str">
        <f t="shared" si="28"/>
        <v>Spirit Of Harmony</v>
      </c>
      <c r="K88" s="266"/>
      <c r="L88" s="266"/>
      <c r="M88" s="269">
        <v>0</v>
      </c>
      <c r="N88" s="277">
        <f t="shared" si="29"/>
        <v>1</v>
      </c>
    </row>
    <row r="89" spans="1:14" s="267" customFormat="1" ht="18" customHeight="1" x14ac:dyDescent="0.2">
      <c r="A89" s="655">
        <v>36</v>
      </c>
      <c r="B89" s="266" t="s">
        <v>4115</v>
      </c>
      <c r="C89" s="266"/>
      <c r="D89" s="266"/>
      <c r="E89" s="266">
        <v>0</v>
      </c>
      <c r="F89" s="266" t="str">
        <f t="shared" si="27"/>
        <v>Wye Vale Chorus</v>
      </c>
      <c r="G89" s="266"/>
      <c r="H89" s="266"/>
      <c r="I89" s="266">
        <v>0</v>
      </c>
      <c r="J89" s="266" t="str">
        <f t="shared" si="28"/>
        <v>Wye Vale Chorus</v>
      </c>
      <c r="K89" s="266"/>
      <c r="L89" s="266"/>
      <c r="M89" s="269">
        <v>1</v>
      </c>
      <c r="N89" s="277">
        <f t="shared" si="29"/>
        <v>1</v>
      </c>
    </row>
    <row r="90" spans="1:14" s="267" customFormat="1" ht="18" customHeight="1" x14ac:dyDescent="0.2">
      <c r="A90" s="655">
        <v>37</v>
      </c>
      <c r="B90" s="266" t="s">
        <v>4105</v>
      </c>
      <c r="C90" s="266"/>
      <c r="D90" s="266"/>
      <c r="E90" s="266">
        <v>0</v>
      </c>
      <c r="F90" s="266" t="str">
        <f t="shared" si="27"/>
        <v>Vale Harmony</v>
      </c>
      <c r="G90" s="266"/>
      <c r="H90" s="266"/>
      <c r="I90" s="266">
        <v>0</v>
      </c>
      <c r="J90" s="266" t="str">
        <f t="shared" si="28"/>
        <v>Vale Harmony</v>
      </c>
      <c r="K90" s="266"/>
      <c r="L90" s="266"/>
      <c r="M90" s="269">
        <v>1</v>
      </c>
      <c r="N90" s="277">
        <f t="shared" si="29"/>
        <v>1</v>
      </c>
    </row>
    <row r="91" spans="1:14" s="267" customFormat="1" ht="18" customHeight="1" x14ac:dyDescent="0.2">
      <c r="A91" s="655">
        <v>38</v>
      </c>
      <c r="B91" s="266" t="s">
        <v>4129</v>
      </c>
      <c r="C91" s="266"/>
      <c r="D91" s="266"/>
      <c r="E91" s="266">
        <v>0</v>
      </c>
      <c r="F91" s="266" t="str">
        <f t="shared" si="27"/>
        <v>Sound Of Three Spires</v>
      </c>
      <c r="G91" s="266"/>
      <c r="H91" s="266"/>
      <c r="I91" s="266">
        <v>0</v>
      </c>
      <c r="J91" s="266" t="str">
        <f t="shared" si="28"/>
        <v>Sound Of Three Spires</v>
      </c>
      <c r="K91" s="266"/>
      <c r="L91" s="266"/>
      <c r="M91" s="269">
        <v>1</v>
      </c>
      <c r="N91" s="584">
        <f t="shared" si="29"/>
        <v>1</v>
      </c>
    </row>
    <row r="92" spans="1:14" s="267" customFormat="1" ht="18" customHeight="1" x14ac:dyDescent="0.2">
      <c r="A92" s="656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2"/>
      <c r="N92" s="277"/>
    </row>
    <row r="93" spans="1:14" s="267" customFormat="1" ht="18" customHeight="1" thickBot="1" x14ac:dyDescent="0.25">
      <c r="A93" s="631"/>
      <c r="B93" s="266"/>
      <c r="E93" s="469">
        <f>SUM(E54:E92)</f>
        <v>41</v>
      </c>
      <c r="I93" s="469">
        <f>SUM(I54:I92)</f>
        <v>41</v>
      </c>
      <c r="J93" s="266"/>
      <c r="M93" s="469">
        <f>SUM(M54:M92)</f>
        <v>41</v>
      </c>
      <c r="N93" s="577">
        <f>SUM(N54:N92)</f>
        <v>123</v>
      </c>
    </row>
    <row r="94" spans="1:14" s="267" customFormat="1" ht="18" customHeight="1" thickTop="1" x14ac:dyDescent="0.2">
      <c r="A94" s="631"/>
      <c r="B94" s="267" t="s">
        <v>1032</v>
      </c>
      <c r="F94" s="267" t="s">
        <v>1033</v>
      </c>
      <c r="J94" s="267" t="s">
        <v>1034</v>
      </c>
      <c r="N94" s="277"/>
    </row>
    <row r="95" spans="1:14" s="267" customFormat="1" ht="18" customHeight="1" x14ac:dyDescent="0.2">
      <c r="A95" s="631"/>
    </row>
    <row r="96" spans="1:14" s="267" customFormat="1" ht="18" customHeight="1" x14ac:dyDescent="0.2">
      <c r="A96" s="557" t="s">
        <v>4865</v>
      </c>
      <c r="B96" s="558"/>
      <c r="C96" s="558"/>
      <c r="D96" s="558"/>
      <c r="E96" s="558"/>
      <c r="F96" s="558"/>
      <c r="G96" s="558"/>
      <c r="H96" s="558"/>
      <c r="I96" s="558"/>
      <c r="J96" s="558"/>
      <c r="K96" s="558"/>
      <c r="L96" s="558"/>
      <c r="M96" s="559"/>
    </row>
    <row r="97" spans="1:17" ht="18" customHeight="1" x14ac:dyDescent="0.25">
      <c r="A97" s="654"/>
      <c r="B97" s="273"/>
      <c r="C97" s="273" t="s">
        <v>3900</v>
      </c>
      <c r="D97" s="273"/>
      <c r="E97" s="273"/>
      <c r="F97" s="273"/>
      <c r="G97" s="553" t="s">
        <v>3901</v>
      </c>
      <c r="H97" s="553"/>
      <c r="I97" s="553"/>
      <c r="J97" s="274"/>
      <c r="K97" s="553" t="s">
        <v>3901</v>
      </c>
      <c r="L97" s="553"/>
      <c r="M97" s="556"/>
      <c r="N97" s="267"/>
      <c r="O97" s="267"/>
      <c r="P97" s="267"/>
      <c r="Q97" s="267"/>
    </row>
    <row r="98" spans="1:17" ht="18" customHeight="1" x14ac:dyDescent="0.25">
      <c r="A98" s="655"/>
      <c r="B98" s="266"/>
      <c r="C98" s="266"/>
      <c r="D98" s="266"/>
      <c r="E98" s="266"/>
      <c r="F98" s="266"/>
      <c r="G98" s="554" t="s">
        <v>3905</v>
      </c>
      <c r="H98" s="554"/>
      <c r="I98" s="554"/>
      <c r="J98" s="276"/>
      <c r="K98" s="554" t="s">
        <v>3906</v>
      </c>
      <c r="L98" s="554"/>
      <c r="M98" s="555"/>
      <c r="N98" s="267"/>
      <c r="O98" s="267"/>
      <c r="P98" s="267"/>
      <c r="Q98" s="267"/>
    </row>
    <row r="99" spans="1:17" ht="18" customHeight="1" x14ac:dyDescent="0.25">
      <c r="A99" s="655">
        <v>1</v>
      </c>
      <c r="B99" s="266" t="s">
        <v>4281</v>
      </c>
      <c r="C99" s="266"/>
      <c r="D99" s="266"/>
      <c r="E99" s="266">
        <v>6</v>
      </c>
      <c r="F99" s="266" t="str">
        <f t="shared" ref="F99:F136" si="30">+B99</f>
        <v>Cambridge Chord Co</v>
      </c>
      <c r="G99" s="266"/>
      <c r="H99" s="266"/>
      <c r="I99" s="266">
        <v>2</v>
      </c>
      <c r="J99" s="266" t="str">
        <f t="shared" ref="J99:J136" si="31">+B99</f>
        <v>Cambridge Chord Co</v>
      </c>
      <c r="K99" s="266"/>
      <c r="L99" s="266"/>
      <c r="M99" s="269">
        <v>1</v>
      </c>
      <c r="N99" s="631">
        <f t="shared" ref="N99:N136" si="32">+E99+I99+M99</f>
        <v>9</v>
      </c>
      <c r="O99" s="267"/>
      <c r="P99" s="267"/>
      <c r="Q99" s="267"/>
    </row>
    <row r="100" spans="1:17" ht="18" customHeight="1" x14ac:dyDescent="0.25">
      <c r="A100" s="655">
        <v>2</v>
      </c>
      <c r="B100" s="266" t="s">
        <v>2011</v>
      </c>
      <c r="C100" s="266"/>
      <c r="D100" s="266"/>
      <c r="E100" s="266">
        <v>3</v>
      </c>
      <c r="F100" s="266" t="str">
        <f t="shared" si="30"/>
        <v>Tuxedo Junction</v>
      </c>
      <c r="G100" s="266"/>
      <c r="H100" s="266"/>
      <c r="I100" s="266">
        <v>5</v>
      </c>
      <c r="J100" s="266" t="str">
        <f t="shared" si="31"/>
        <v>Tuxedo Junction</v>
      </c>
      <c r="K100" s="266"/>
      <c r="L100" s="266"/>
      <c r="M100" s="269">
        <v>0</v>
      </c>
      <c r="N100" s="631">
        <f t="shared" si="32"/>
        <v>8</v>
      </c>
      <c r="O100" s="267"/>
      <c r="P100" s="267"/>
      <c r="Q100" s="267"/>
    </row>
    <row r="101" spans="1:17" ht="18" customHeight="1" x14ac:dyDescent="0.25">
      <c r="A101" s="655">
        <v>3</v>
      </c>
      <c r="B101" s="266" t="s">
        <v>4282</v>
      </c>
      <c r="C101" s="266"/>
      <c r="D101" s="266"/>
      <c r="E101" s="266">
        <v>3</v>
      </c>
      <c r="F101" s="266" t="str">
        <f t="shared" si="30"/>
        <v>Solent City Chorus</v>
      </c>
      <c r="G101" s="266"/>
      <c r="H101" s="266"/>
      <c r="I101" s="266">
        <v>2</v>
      </c>
      <c r="J101" s="266" t="str">
        <f t="shared" si="31"/>
        <v>Solent City Chorus</v>
      </c>
      <c r="K101" s="266"/>
      <c r="L101" s="266"/>
      <c r="M101" s="269">
        <v>3</v>
      </c>
      <c r="N101" s="631">
        <f t="shared" si="32"/>
        <v>8</v>
      </c>
    </row>
    <row r="102" spans="1:17" ht="18" customHeight="1" x14ac:dyDescent="0.25">
      <c r="A102" s="655">
        <v>4</v>
      </c>
      <c r="B102" s="266" t="s">
        <v>316</v>
      </c>
      <c r="C102" s="266"/>
      <c r="D102" s="266"/>
      <c r="E102" s="266">
        <v>2</v>
      </c>
      <c r="F102" s="266" t="str">
        <f t="shared" si="30"/>
        <v>Telfordaires</v>
      </c>
      <c r="G102" s="266"/>
      <c r="H102" s="266"/>
      <c r="I102" s="266">
        <v>5</v>
      </c>
      <c r="J102" s="266" t="str">
        <f t="shared" si="31"/>
        <v>Telfordaires</v>
      </c>
      <c r="K102" s="266"/>
      <c r="L102" s="266"/>
      <c r="M102" s="269">
        <v>4</v>
      </c>
      <c r="N102" s="631">
        <f t="shared" si="32"/>
        <v>11</v>
      </c>
      <c r="O102" s="267"/>
      <c r="P102" s="267"/>
      <c r="Q102" s="267"/>
    </row>
    <row r="103" spans="1:17" ht="18" customHeight="1" x14ac:dyDescent="0.25">
      <c r="A103" s="655">
        <v>5</v>
      </c>
      <c r="B103" s="264" t="s">
        <v>4284</v>
      </c>
      <c r="C103" s="266"/>
      <c r="D103" s="266"/>
      <c r="E103" s="266">
        <v>2</v>
      </c>
      <c r="F103" s="266" t="str">
        <f t="shared" si="30"/>
        <v>Men of Gwent</v>
      </c>
      <c r="G103" s="266"/>
      <c r="H103" s="266"/>
      <c r="I103" s="266">
        <v>2</v>
      </c>
      <c r="J103" s="266" t="str">
        <f t="shared" si="31"/>
        <v>Men of Gwent</v>
      </c>
      <c r="K103" s="266"/>
      <c r="L103" s="266"/>
      <c r="M103" s="269">
        <v>0</v>
      </c>
      <c r="N103" s="631">
        <f t="shared" si="32"/>
        <v>4</v>
      </c>
    </row>
    <row r="104" spans="1:17" ht="18" customHeight="1" x14ac:dyDescent="0.25">
      <c r="A104" s="655">
        <v>6</v>
      </c>
      <c r="B104" s="266" t="s">
        <v>1150</v>
      </c>
      <c r="C104" s="266"/>
      <c r="D104" s="266"/>
      <c r="E104" s="266">
        <v>2</v>
      </c>
      <c r="F104" s="266" t="str">
        <f t="shared" si="30"/>
        <v>Mantunian Way</v>
      </c>
      <c r="G104" s="266"/>
      <c r="H104" s="266"/>
      <c r="I104" s="266">
        <v>1</v>
      </c>
      <c r="J104" s="266" t="str">
        <f t="shared" si="31"/>
        <v>Mantunian Way</v>
      </c>
      <c r="K104" s="266"/>
      <c r="L104" s="266"/>
      <c r="M104" s="269">
        <v>3</v>
      </c>
      <c r="N104" s="631">
        <f t="shared" si="32"/>
        <v>6</v>
      </c>
    </row>
    <row r="105" spans="1:17" ht="18" customHeight="1" x14ac:dyDescent="0.25">
      <c r="A105" s="655">
        <v>7</v>
      </c>
      <c r="B105" s="266" t="s">
        <v>4132</v>
      </c>
      <c r="C105" s="266"/>
      <c r="D105" s="266"/>
      <c r="E105" s="266">
        <v>2</v>
      </c>
      <c r="F105" s="266" t="str">
        <f t="shared" si="30"/>
        <v>Knights of Harmony (Chesham Buckaneers)</v>
      </c>
      <c r="G105" s="266"/>
      <c r="H105" s="266"/>
      <c r="I105" s="266">
        <v>1</v>
      </c>
      <c r="J105" s="266" t="str">
        <f t="shared" si="31"/>
        <v>Knights of Harmony (Chesham Buckaneers)</v>
      </c>
      <c r="K105" s="266"/>
      <c r="L105" s="266"/>
      <c r="M105" s="269">
        <v>2</v>
      </c>
      <c r="N105" s="631">
        <f t="shared" si="32"/>
        <v>5</v>
      </c>
    </row>
    <row r="106" spans="1:17" ht="18" customHeight="1" x14ac:dyDescent="0.25">
      <c r="A106" s="655">
        <v>8</v>
      </c>
      <c r="B106" s="264" t="s">
        <v>4103</v>
      </c>
      <c r="C106" s="266"/>
      <c r="D106" s="266"/>
      <c r="E106" s="266">
        <v>2</v>
      </c>
      <c r="F106" s="266" t="str">
        <f t="shared" si="30"/>
        <v>Wight Harmony</v>
      </c>
      <c r="G106" s="266"/>
      <c r="H106" s="266"/>
      <c r="I106" s="266">
        <v>1</v>
      </c>
      <c r="J106" s="266" t="str">
        <f t="shared" si="31"/>
        <v>Wight Harmony</v>
      </c>
      <c r="K106" s="266"/>
      <c r="L106" s="266"/>
      <c r="M106" s="269">
        <v>0</v>
      </c>
      <c r="N106" s="631">
        <f t="shared" si="32"/>
        <v>3</v>
      </c>
    </row>
    <row r="107" spans="1:17" ht="18" customHeight="1" x14ac:dyDescent="0.25">
      <c r="A107" s="655">
        <v>9</v>
      </c>
      <c r="B107" s="264" t="s">
        <v>4107</v>
      </c>
      <c r="C107" s="266"/>
      <c r="D107" s="266"/>
      <c r="E107" s="266">
        <v>2</v>
      </c>
      <c r="F107" s="266" t="str">
        <f t="shared" si="30"/>
        <v>Shannon Express</v>
      </c>
      <c r="G107" s="266"/>
      <c r="H107" s="266"/>
      <c r="I107" s="266">
        <v>0</v>
      </c>
      <c r="J107" s="266" t="str">
        <f t="shared" si="31"/>
        <v>Shannon Express</v>
      </c>
      <c r="K107" s="266"/>
      <c r="L107" s="266"/>
      <c r="M107" s="269">
        <v>2</v>
      </c>
      <c r="N107" s="631">
        <f t="shared" si="32"/>
        <v>4</v>
      </c>
    </row>
    <row r="108" spans="1:17" ht="18" customHeight="1" x14ac:dyDescent="0.25">
      <c r="A108" s="655">
        <v>10</v>
      </c>
      <c r="B108" s="264" t="s">
        <v>4285</v>
      </c>
      <c r="C108" s="266"/>
      <c r="D108" s="266"/>
      <c r="E108" s="266">
        <v>2</v>
      </c>
      <c r="F108" s="266" t="str">
        <f t="shared" si="30"/>
        <v>Worthingaires</v>
      </c>
      <c r="G108" s="266"/>
      <c r="H108" s="266"/>
      <c r="I108" s="266">
        <v>0</v>
      </c>
      <c r="J108" s="266" t="str">
        <f t="shared" si="31"/>
        <v>Worthingaires</v>
      </c>
      <c r="K108" s="266"/>
      <c r="L108" s="266"/>
      <c r="M108" s="269">
        <v>0</v>
      </c>
      <c r="N108" s="631">
        <f t="shared" si="32"/>
        <v>2</v>
      </c>
    </row>
    <row r="109" spans="1:17" ht="18" customHeight="1" x14ac:dyDescent="0.25">
      <c r="A109" s="655">
        <v>11</v>
      </c>
      <c r="B109" s="266" t="s">
        <v>4136</v>
      </c>
      <c r="C109" s="266"/>
      <c r="D109" s="266"/>
      <c r="E109" s="266">
        <v>1</v>
      </c>
      <c r="F109" s="266" t="str">
        <f t="shared" si="30"/>
        <v>The Royal Harmonics</v>
      </c>
      <c r="G109" s="266"/>
      <c r="H109" s="266"/>
      <c r="I109" s="266">
        <v>4</v>
      </c>
      <c r="J109" s="266" t="str">
        <f t="shared" si="31"/>
        <v>The Royal Harmonics</v>
      </c>
      <c r="K109" s="266"/>
      <c r="L109" s="266"/>
      <c r="M109" s="269">
        <v>1</v>
      </c>
      <c r="N109" s="631">
        <f t="shared" si="32"/>
        <v>6</v>
      </c>
    </row>
    <row r="110" spans="1:17" ht="18" customHeight="1" x14ac:dyDescent="0.25">
      <c r="A110" s="655">
        <v>12</v>
      </c>
      <c r="B110" s="266" t="s">
        <v>4131</v>
      </c>
      <c r="C110" s="266"/>
      <c r="D110" s="266"/>
      <c r="E110" s="266">
        <v>1</v>
      </c>
      <c r="F110" s="266" t="str">
        <f t="shared" si="30"/>
        <v>The Rivertones</v>
      </c>
      <c r="G110" s="266"/>
      <c r="H110" s="266"/>
      <c r="I110" s="266">
        <v>2</v>
      </c>
      <c r="J110" s="266" t="str">
        <f t="shared" si="31"/>
        <v>The Rivertones</v>
      </c>
      <c r="K110" s="266"/>
      <c r="L110" s="266"/>
      <c r="M110" s="269">
        <v>3</v>
      </c>
      <c r="N110" s="631">
        <f t="shared" si="32"/>
        <v>6</v>
      </c>
    </row>
    <row r="111" spans="1:17" ht="18" customHeight="1" x14ac:dyDescent="0.25">
      <c r="A111" s="655">
        <v>13</v>
      </c>
      <c r="B111" s="266" t="s">
        <v>319</v>
      </c>
      <c r="C111" s="266"/>
      <c r="D111" s="266"/>
      <c r="E111" s="266">
        <v>1</v>
      </c>
      <c r="F111" s="266" t="str">
        <f t="shared" si="30"/>
        <v>Capital Chorus</v>
      </c>
      <c r="G111" s="266"/>
      <c r="H111" s="266"/>
      <c r="I111" s="266">
        <v>1</v>
      </c>
      <c r="J111" s="266" t="str">
        <f t="shared" si="31"/>
        <v>Capital Chorus</v>
      </c>
      <c r="K111" s="266"/>
      <c r="L111" s="266"/>
      <c r="M111" s="269">
        <v>4</v>
      </c>
      <c r="N111" s="631">
        <f t="shared" si="32"/>
        <v>6</v>
      </c>
    </row>
    <row r="112" spans="1:17" ht="18" customHeight="1" x14ac:dyDescent="0.25">
      <c r="A112" s="655">
        <v>14</v>
      </c>
      <c r="B112" s="264" t="s">
        <v>2568</v>
      </c>
      <c r="C112" s="266"/>
      <c r="D112" s="266"/>
      <c r="E112" s="266">
        <v>1</v>
      </c>
      <c r="F112" s="266" t="str">
        <f t="shared" si="30"/>
        <v>White Horse Harmony</v>
      </c>
      <c r="G112" s="266"/>
      <c r="H112" s="266"/>
      <c r="I112" s="266">
        <v>1</v>
      </c>
      <c r="J112" s="266" t="str">
        <f t="shared" si="31"/>
        <v>White Horse Harmony</v>
      </c>
      <c r="K112" s="266"/>
      <c r="L112" s="266"/>
      <c r="M112" s="269">
        <v>2</v>
      </c>
      <c r="N112" s="631">
        <f t="shared" si="32"/>
        <v>4</v>
      </c>
    </row>
    <row r="113" spans="1:14" ht="18" customHeight="1" x14ac:dyDescent="0.25">
      <c r="A113" s="655">
        <v>15</v>
      </c>
      <c r="B113" s="266" t="s">
        <v>4288</v>
      </c>
      <c r="C113" s="266"/>
      <c r="D113" s="266"/>
      <c r="E113" s="266">
        <v>1</v>
      </c>
      <c r="F113" s="266" t="str">
        <f t="shared" si="30"/>
        <v>Western Approach</v>
      </c>
      <c r="G113" s="266"/>
      <c r="H113" s="266"/>
      <c r="I113" s="266">
        <v>1</v>
      </c>
      <c r="J113" s="266" t="str">
        <f t="shared" si="31"/>
        <v>Western Approach</v>
      </c>
      <c r="K113" s="266"/>
      <c r="L113" s="266"/>
      <c r="M113" s="269">
        <v>2</v>
      </c>
      <c r="N113" s="631">
        <f t="shared" si="32"/>
        <v>4</v>
      </c>
    </row>
    <row r="114" spans="1:14" ht="18" customHeight="1" x14ac:dyDescent="0.25">
      <c r="A114" s="655">
        <v>16</v>
      </c>
      <c r="B114" s="264" t="s">
        <v>4286</v>
      </c>
      <c r="C114" s="266"/>
      <c r="D114" s="266"/>
      <c r="E114" s="266">
        <v>1</v>
      </c>
      <c r="F114" s="266" t="str">
        <f t="shared" si="30"/>
        <v>White Rose BS</v>
      </c>
      <c r="G114" s="266"/>
      <c r="H114" s="266"/>
      <c r="I114" s="266">
        <v>1</v>
      </c>
      <c r="J114" s="266" t="str">
        <f t="shared" si="31"/>
        <v>White Rose BS</v>
      </c>
      <c r="K114" s="266"/>
      <c r="L114" s="266"/>
      <c r="M114" s="269">
        <v>0</v>
      </c>
      <c r="N114" s="631">
        <f t="shared" si="32"/>
        <v>2</v>
      </c>
    </row>
    <row r="115" spans="1:14" ht="18" customHeight="1" x14ac:dyDescent="0.25">
      <c r="A115" s="655">
        <v>17</v>
      </c>
      <c r="B115" s="266" t="s">
        <v>4489</v>
      </c>
      <c r="C115" s="266"/>
      <c r="D115" s="266"/>
      <c r="E115" s="266">
        <v>1</v>
      </c>
      <c r="F115" s="266" t="str">
        <f t="shared" si="30"/>
        <v>Meantime</v>
      </c>
      <c r="G115" s="266"/>
      <c r="H115" s="266"/>
      <c r="I115" s="266">
        <v>1</v>
      </c>
      <c r="J115" s="266" t="str">
        <f t="shared" si="31"/>
        <v>Meantime</v>
      </c>
      <c r="K115" s="266"/>
      <c r="L115" s="266"/>
      <c r="M115" s="269">
        <v>0</v>
      </c>
      <c r="N115" s="631">
        <f t="shared" si="32"/>
        <v>2</v>
      </c>
    </row>
    <row r="116" spans="1:14" ht="18" customHeight="1" x14ac:dyDescent="0.25">
      <c r="A116" s="655">
        <v>18</v>
      </c>
      <c r="B116" s="266" t="s">
        <v>2566</v>
      </c>
      <c r="C116" s="266"/>
      <c r="D116" s="266"/>
      <c r="E116" s="266">
        <v>1</v>
      </c>
      <c r="F116" s="266" t="str">
        <f t="shared" si="30"/>
        <v>Anvil Chorus</v>
      </c>
      <c r="G116" s="266"/>
      <c r="H116" s="266"/>
      <c r="I116" s="266">
        <v>0</v>
      </c>
      <c r="J116" s="266" t="str">
        <f t="shared" si="31"/>
        <v>Anvil Chorus</v>
      </c>
      <c r="K116" s="266"/>
      <c r="L116" s="266"/>
      <c r="M116" s="269">
        <v>3</v>
      </c>
      <c r="N116" s="631">
        <f t="shared" si="32"/>
        <v>4</v>
      </c>
    </row>
    <row r="117" spans="1:14" ht="18" customHeight="1" x14ac:dyDescent="0.25">
      <c r="A117" s="655">
        <v>19</v>
      </c>
      <c r="B117" s="266" t="s">
        <v>4113</v>
      </c>
      <c r="C117" s="266"/>
      <c r="D117" s="266"/>
      <c r="E117" s="266">
        <v>1</v>
      </c>
      <c r="F117" s="266" t="str">
        <f t="shared" si="30"/>
        <v>Bradford B S Singers - (Chordbusters Inc)</v>
      </c>
      <c r="G117" s="266"/>
      <c r="H117" s="266"/>
      <c r="I117" s="266">
        <v>0</v>
      </c>
      <c r="J117" s="266" t="str">
        <f t="shared" si="31"/>
        <v>Bradford B S Singers - (Chordbusters Inc)</v>
      </c>
      <c r="K117" s="266"/>
      <c r="L117" s="266"/>
      <c r="M117" s="269">
        <v>1</v>
      </c>
      <c r="N117" s="631">
        <f t="shared" si="32"/>
        <v>2</v>
      </c>
    </row>
    <row r="118" spans="1:14" ht="18" customHeight="1" x14ac:dyDescent="0.25">
      <c r="A118" s="655">
        <v>20</v>
      </c>
      <c r="B118" s="266" t="s">
        <v>1950</v>
      </c>
      <c r="C118" s="266"/>
      <c r="D118" s="266"/>
      <c r="E118" s="266">
        <v>1</v>
      </c>
      <c r="F118" s="266" t="str">
        <f t="shared" si="30"/>
        <v>Gentlemen Songsters</v>
      </c>
      <c r="G118" s="266"/>
      <c r="H118" s="266"/>
      <c r="I118" s="266">
        <v>0</v>
      </c>
      <c r="J118" s="266" t="str">
        <f t="shared" si="31"/>
        <v>Gentlemen Songsters</v>
      </c>
      <c r="K118" s="266"/>
      <c r="L118" s="266"/>
      <c r="M118" s="269">
        <v>1</v>
      </c>
      <c r="N118" s="631">
        <f t="shared" si="32"/>
        <v>2</v>
      </c>
    </row>
    <row r="119" spans="1:14" ht="18" customHeight="1" x14ac:dyDescent="0.25">
      <c r="A119" s="655">
        <v>21</v>
      </c>
      <c r="B119" s="264" t="s">
        <v>322</v>
      </c>
      <c r="C119" s="266"/>
      <c r="D119" s="266"/>
      <c r="E119" s="266">
        <v>1</v>
      </c>
      <c r="F119" s="266" t="str">
        <f t="shared" si="30"/>
        <v>Westering Chorus (Bridgwater)</v>
      </c>
      <c r="G119" s="266"/>
      <c r="H119" s="266"/>
      <c r="I119" s="266">
        <v>0</v>
      </c>
      <c r="J119" s="266" t="str">
        <f t="shared" si="31"/>
        <v>Westering Chorus (Bridgwater)</v>
      </c>
      <c r="K119" s="266"/>
      <c r="L119" s="266"/>
      <c r="M119" s="269">
        <v>1</v>
      </c>
      <c r="N119" s="631">
        <f t="shared" si="32"/>
        <v>2</v>
      </c>
    </row>
    <row r="120" spans="1:14" ht="18" customHeight="1" x14ac:dyDescent="0.25">
      <c r="A120" s="655">
        <v>22</v>
      </c>
      <c r="B120" s="264" t="s">
        <v>4106</v>
      </c>
      <c r="C120" s="266"/>
      <c r="D120" s="266"/>
      <c r="E120" s="266">
        <v>1</v>
      </c>
      <c r="F120" s="266" t="str">
        <f t="shared" si="30"/>
        <v>Surrey Fringe</v>
      </c>
      <c r="G120" s="266"/>
      <c r="H120" s="266"/>
      <c r="I120" s="266">
        <v>0</v>
      </c>
      <c r="J120" s="266" t="str">
        <f t="shared" si="31"/>
        <v>Surrey Fringe</v>
      </c>
      <c r="K120" s="266"/>
      <c r="L120" s="266"/>
      <c r="M120" s="269">
        <v>1</v>
      </c>
      <c r="N120" s="631">
        <f t="shared" si="32"/>
        <v>2</v>
      </c>
    </row>
    <row r="121" spans="1:14" ht="18" customHeight="1" x14ac:dyDescent="0.25">
      <c r="A121" s="655">
        <v>23</v>
      </c>
      <c r="B121" s="266" t="s">
        <v>1954</v>
      </c>
      <c r="C121" s="266"/>
      <c r="D121" s="266"/>
      <c r="E121" s="266">
        <v>1</v>
      </c>
      <c r="F121" s="266" t="str">
        <f t="shared" si="30"/>
        <v>Fine City Chorus</v>
      </c>
      <c r="G121" s="266"/>
      <c r="H121" s="266"/>
      <c r="I121" s="266">
        <v>0</v>
      </c>
      <c r="J121" s="266" t="str">
        <f t="shared" si="31"/>
        <v>Fine City Chorus</v>
      </c>
      <c r="K121" s="266"/>
      <c r="L121" s="266"/>
      <c r="M121" s="269">
        <v>0</v>
      </c>
      <c r="N121" s="631">
        <f t="shared" si="32"/>
        <v>1</v>
      </c>
    </row>
    <row r="122" spans="1:14" ht="18" customHeight="1" x14ac:dyDescent="0.25">
      <c r="A122" s="655">
        <v>24</v>
      </c>
      <c r="B122" s="266" t="s">
        <v>4275</v>
      </c>
      <c r="C122" s="266"/>
      <c r="D122" s="266"/>
      <c r="E122" s="266">
        <v>1</v>
      </c>
      <c r="F122" s="266" t="str">
        <f t="shared" si="30"/>
        <v>Sussex B S Singers</v>
      </c>
      <c r="G122" s="266"/>
      <c r="H122" s="266"/>
      <c r="I122" s="266">
        <v>0</v>
      </c>
      <c r="J122" s="266" t="str">
        <f t="shared" si="31"/>
        <v>Sussex B S Singers</v>
      </c>
      <c r="K122" s="266"/>
      <c r="L122" s="266"/>
      <c r="M122" s="269">
        <v>0</v>
      </c>
      <c r="N122" s="631">
        <f t="shared" si="32"/>
        <v>1</v>
      </c>
    </row>
    <row r="123" spans="1:14" ht="18" customHeight="1" x14ac:dyDescent="0.25">
      <c r="A123" s="655">
        <v>25</v>
      </c>
      <c r="B123" s="266" t="s">
        <v>338</v>
      </c>
      <c r="C123" s="266"/>
      <c r="D123" s="266"/>
      <c r="E123" s="266">
        <v>1</v>
      </c>
      <c r="F123" s="266" t="str">
        <f t="shared" si="30"/>
        <v>Grand Central</v>
      </c>
      <c r="G123" s="266"/>
      <c r="H123" s="266"/>
      <c r="I123" s="266">
        <v>0</v>
      </c>
      <c r="J123" s="266" t="str">
        <f t="shared" si="31"/>
        <v>Grand Central</v>
      </c>
      <c r="K123" s="266"/>
      <c r="L123" s="266"/>
      <c r="M123" s="269">
        <v>0</v>
      </c>
      <c r="N123" s="631">
        <f t="shared" si="32"/>
        <v>1</v>
      </c>
    </row>
    <row r="124" spans="1:14" ht="18" customHeight="1" x14ac:dyDescent="0.25">
      <c r="A124" s="655">
        <v>26</v>
      </c>
      <c r="B124" s="266" t="s">
        <v>4287</v>
      </c>
      <c r="C124" s="266"/>
      <c r="D124" s="266"/>
      <c r="E124" s="266">
        <v>0</v>
      </c>
      <c r="F124" s="266" t="str">
        <f t="shared" si="30"/>
        <v>Rainy City Chorus</v>
      </c>
      <c r="G124" s="266"/>
      <c r="H124" s="266"/>
      <c r="I124" s="266">
        <v>2</v>
      </c>
      <c r="J124" s="266" t="str">
        <f t="shared" si="31"/>
        <v>Rainy City Chorus</v>
      </c>
      <c r="K124" s="266"/>
      <c r="L124" s="266"/>
      <c r="M124" s="269">
        <v>0</v>
      </c>
      <c r="N124" s="631">
        <f t="shared" si="32"/>
        <v>2</v>
      </c>
    </row>
    <row r="125" spans="1:14" ht="18" customHeight="1" x14ac:dyDescent="0.25">
      <c r="A125" s="655">
        <v>27</v>
      </c>
      <c r="B125" s="266" t="s">
        <v>4127</v>
      </c>
      <c r="C125" s="266"/>
      <c r="D125" s="266"/>
      <c r="E125" s="266">
        <v>0</v>
      </c>
      <c r="F125" s="266" t="str">
        <f t="shared" si="30"/>
        <v>The Red Rose Chorus</v>
      </c>
      <c r="G125" s="266"/>
      <c r="H125" s="266"/>
      <c r="I125" s="266">
        <v>1</v>
      </c>
      <c r="J125" s="266" t="str">
        <f t="shared" si="31"/>
        <v>The Red Rose Chorus</v>
      </c>
      <c r="K125" s="266"/>
      <c r="L125" s="266"/>
      <c r="M125" s="269">
        <v>2</v>
      </c>
      <c r="N125" s="631">
        <f t="shared" si="32"/>
        <v>3</v>
      </c>
    </row>
    <row r="126" spans="1:14" ht="18" customHeight="1" x14ac:dyDescent="0.25">
      <c r="A126" s="655">
        <v>28</v>
      </c>
      <c r="B126" s="266" t="s">
        <v>4276</v>
      </c>
      <c r="C126" s="266"/>
      <c r="D126" s="266"/>
      <c r="E126" s="266">
        <v>0</v>
      </c>
      <c r="F126" s="266" t="str">
        <f t="shared" si="30"/>
        <v>5 Ways</v>
      </c>
      <c r="G126" s="266"/>
      <c r="H126" s="266"/>
      <c r="I126" s="266">
        <v>1</v>
      </c>
      <c r="J126" s="266" t="str">
        <f t="shared" si="31"/>
        <v>5 Ways</v>
      </c>
      <c r="K126" s="266"/>
      <c r="L126" s="266"/>
      <c r="M126" s="269">
        <v>1</v>
      </c>
      <c r="N126" s="631">
        <f t="shared" si="32"/>
        <v>2</v>
      </c>
    </row>
    <row r="127" spans="1:14" ht="18" customHeight="1" x14ac:dyDescent="0.25">
      <c r="A127" s="655">
        <v>29</v>
      </c>
      <c r="B127" s="266" t="s">
        <v>4405</v>
      </c>
      <c r="C127" s="266"/>
      <c r="D127" s="266"/>
      <c r="E127" s="266">
        <v>0</v>
      </c>
      <c r="F127" s="266" t="str">
        <f t="shared" si="30"/>
        <v>Vocal Fusion</v>
      </c>
      <c r="G127" s="266"/>
      <c r="H127" s="266"/>
      <c r="I127" s="266">
        <v>1</v>
      </c>
      <c r="J127" s="266" t="str">
        <f t="shared" si="31"/>
        <v>Vocal Fusion</v>
      </c>
      <c r="K127" s="266"/>
      <c r="L127" s="266"/>
      <c r="M127" s="269">
        <v>1</v>
      </c>
      <c r="N127" s="631">
        <f t="shared" si="32"/>
        <v>2</v>
      </c>
    </row>
    <row r="128" spans="1:14" ht="18" customHeight="1" x14ac:dyDescent="0.25">
      <c r="A128" s="655">
        <v>30</v>
      </c>
      <c r="B128" s="266" t="s">
        <v>1023</v>
      </c>
      <c r="C128" s="266"/>
      <c r="D128" s="266"/>
      <c r="E128" s="266">
        <v>0</v>
      </c>
      <c r="F128" s="266" t="str">
        <f t="shared" si="30"/>
        <v>Sound Company</v>
      </c>
      <c r="G128" s="266"/>
      <c r="H128" s="266"/>
      <c r="I128" s="266">
        <v>1</v>
      </c>
      <c r="J128" s="266" t="str">
        <f t="shared" si="31"/>
        <v>Sound Company</v>
      </c>
      <c r="K128" s="266"/>
      <c r="L128" s="266"/>
      <c r="M128" s="269">
        <v>0</v>
      </c>
      <c r="N128" s="631">
        <f t="shared" si="32"/>
        <v>1</v>
      </c>
    </row>
    <row r="129" spans="1:14" ht="18" customHeight="1" x14ac:dyDescent="0.25">
      <c r="A129" s="655">
        <v>31</v>
      </c>
      <c r="B129" s="266" t="s">
        <v>323</v>
      </c>
      <c r="C129" s="266"/>
      <c r="D129" s="266"/>
      <c r="E129" s="266">
        <v>0</v>
      </c>
      <c r="F129" s="266" t="str">
        <f t="shared" si="30"/>
        <v>Nottingham Gateway Chorus</v>
      </c>
      <c r="G129" s="266"/>
      <c r="H129" s="266"/>
      <c r="I129" s="266">
        <v>1</v>
      </c>
      <c r="J129" s="266" t="str">
        <f t="shared" si="31"/>
        <v>Nottingham Gateway Chorus</v>
      </c>
      <c r="K129" s="266"/>
      <c r="L129" s="266"/>
      <c r="M129" s="269">
        <v>0</v>
      </c>
      <c r="N129" s="631">
        <f t="shared" si="32"/>
        <v>1</v>
      </c>
    </row>
    <row r="130" spans="1:14" ht="18" customHeight="1" x14ac:dyDescent="0.25">
      <c r="A130" s="655">
        <v>32</v>
      </c>
      <c r="B130" s="266" t="s">
        <v>325</v>
      </c>
      <c r="C130" s="266"/>
      <c r="D130" s="266"/>
      <c r="E130" s="266">
        <v>0</v>
      </c>
      <c r="F130" s="266" t="str">
        <f t="shared" si="30"/>
        <v>Jubilee City Chorus (Derby)</v>
      </c>
      <c r="G130" s="266"/>
      <c r="H130" s="266"/>
      <c r="I130" s="266">
        <v>1</v>
      </c>
      <c r="J130" s="266" t="str">
        <f t="shared" si="31"/>
        <v>Jubilee City Chorus (Derby)</v>
      </c>
      <c r="K130" s="266"/>
      <c r="L130" s="266"/>
      <c r="M130" s="269">
        <v>0</v>
      </c>
      <c r="N130" s="631">
        <f t="shared" si="32"/>
        <v>1</v>
      </c>
    </row>
    <row r="131" spans="1:14" ht="18" customHeight="1" x14ac:dyDescent="0.25">
      <c r="A131" s="655">
        <v>33</v>
      </c>
      <c r="B131" s="266" t="s">
        <v>117</v>
      </c>
      <c r="C131" s="266"/>
      <c r="D131" s="266"/>
      <c r="E131" s="266">
        <v>0</v>
      </c>
      <c r="F131" s="266" t="str">
        <f t="shared" si="30"/>
        <v>Thames Valley Chorus</v>
      </c>
      <c r="G131" s="266"/>
      <c r="H131" s="266"/>
      <c r="I131" s="266">
        <v>1</v>
      </c>
      <c r="J131" s="266" t="str">
        <f t="shared" si="31"/>
        <v>Thames Valley Chorus</v>
      </c>
      <c r="K131" s="266"/>
      <c r="L131" s="266"/>
      <c r="M131" s="269">
        <v>0</v>
      </c>
      <c r="N131" s="631">
        <f t="shared" si="32"/>
        <v>1</v>
      </c>
    </row>
    <row r="132" spans="1:14" ht="18" customHeight="1" x14ac:dyDescent="0.25">
      <c r="A132" s="655">
        <v>34</v>
      </c>
      <c r="B132" s="266" t="s">
        <v>4110</v>
      </c>
      <c r="C132" s="266"/>
      <c r="D132" s="266"/>
      <c r="E132" s="266">
        <v>0</v>
      </c>
      <c r="F132" s="266" t="str">
        <f t="shared" si="30"/>
        <v>Ambassador Chorus</v>
      </c>
      <c r="G132" s="266"/>
      <c r="H132" s="266"/>
      <c r="I132" s="266">
        <v>1</v>
      </c>
      <c r="J132" s="266" t="str">
        <f t="shared" si="31"/>
        <v>Ambassador Chorus</v>
      </c>
      <c r="K132" s="266"/>
      <c r="L132" s="266"/>
      <c r="M132" s="269">
        <v>0</v>
      </c>
      <c r="N132" s="631">
        <f t="shared" si="32"/>
        <v>1</v>
      </c>
    </row>
    <row r="133" spans="1:14" ht="18" customHeight="1" x14ac:dyDescent="0.25">
      <c r="A133" s="655">
        <v>35</v>
      </c>
      <c r="B133" s="266" t="s">
        <v>4118</v>
      </c>
      <c r="C133" s="266"/>
      <c r="D133" s="266"/>
      <c r="E133" s="266">
        <v>0</v>
      </c>
      <c r="F133" s="266" t="str">
        <f t="shared" si="30"/>
        <v>Spirit Of Harmony</v>
      </c>
      <c r="G133" s="266"/>
      <c r="H133" s="266"/>
      <c r="I133" s="266">
        <v>1</v>
      </c>
      <c r="J133" s="266" t="str">
        <f t="shared" si="31"/>
        <v>Spirit Of Harmony</v>
      </c>
      <c r="K133" s="266"/>
      <c r="L133" s="266"/>
      <c r="M133" s="269">
        <v>0</v>
      </c>
      <c r="N133" s="631">
        <f t="shared" si="32"/>
        <v>1</v>
      </c>
    </row>
    <row r="134" spans="1:14" ht="18" customHeight="1" x14ac:dyDescent="0.25">
      <c r="A134" s="655">
        <v>36</v>
      </c>
      <c r="B134" s="266" t="s">
        <v>4115</v>
      </c>
      <c r="C134" s="266"/>
      <c r="D134" s="266"/>
      <c r="E134" s="266">
        <v>0</v>
      </c>
      <c r="F134" s="266" t="str">
        <f t="shared" si="30"/>
        <v>Wye Vale Chorus</v>
      </c>
      <c r="G134" s="266"/>
      <c r="H134" s="266"/>
      <c r="I134" s="266">
        <v>0</v>
      </c>
      <c r="J134" s="266" t="str">
        <f t="shared" si="31"/>
        <v>Wye Vale Chorus</v>
      </c>
      <c r="K134" s="266"/>
      <c r="L134" s="266"/>
      <c r="M134" s="269">
        <v>1</v>
      </c>
      <c r="N134" s="631">
        <f t="shared" si="32"/>
        <v>1</v>
      </c>
    </row>
    <row r="135" spans="1:14" ht="18" customHeight="1" x14ac:dyDescent="0.25">
      <c r="A135" s="655">
        <v>37</v>
      </c>
      <c r="B135" s="266" t="s">
        <v>4105</v>
      </c>
      <c r="C135" s="266"/>
      <c r="D135" s="266"/>
      <c r="E135" s="266">
        <v>0</v>
      </c>
      <c r="F135" s="266" t="str">
        <f t="shared" si="30"/>
        <v>Vale Harmony</v>
      </c>
      <c r="G135" s="266"/>
      <c r="H135" s="266"/>
      <c r="I135" s="266">
        <v>0</v>
      </c>
      <c r="J135" s="266" t="str">
        <f t="shared" si="31"/>
        <v>Vale Harmony</v>
      </c>
      <c r="K135" s="266"/>
      <c r="L135" s="266"/>
      <c r="M135" s="269">
        <v>1</v>
      </c>
      <c r="N135" s="631">
        <f t="shared" si="32"/>
        <v>1</v>
      </c>
    </row>
    <row r="136" spans="1:14" ht="18" customHeight="1" x14ac:dyDescent="0.25">
      <c r="A136" s="655">
        <v>38</v>
      </c>
      <c r="B136" s="266" t="s">
        <v>4129</v>
      </c>
      <c r="C136" s="266"/>
      <c r="D136" s="266"/>
      <c r="E136" s="266">
        <v>0</v>
      </c>
      <c r="F136" s="266" t="str">
        <f t="shared" si="30"/>
        <v>Sound Of Three Spires</v>
      </c>
      <c r="G136" s="266"/>
      <c r="H136" s="266"/>
      <c r="I136" s="266">
        <v>0</v>
      </c>
      <c r="J136" s="266" t="str">
        <f t="shared" si="31"/>
        <v>Sound Of Three Spires</v>
      </c>
      <c r="K136" s="266"/>
      <c r="L136" s="266"/>
      <c r="M136" s="269">
        <v>1</v>
      </c>
      <c r="N136" s="631">
        <f t="shared" si="32"/>
        <v>1</v>
      </c>
    </row>
    <row r="137" spans="1:14" ht="18" customHeight="1" x14ac:dyDescent="0.25">
      <c r="A137" s="656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2"/>
      <c r="N137" s="631"/>
    </row>
    <row r="138" spans="1:14" ht="18" customHeight="1" thickBot="1" x14ac:dyDescent="0.3">
      <c r="B138" s="266"/>
      <c r="C138" s="267"/>
      <c r="D138" s="267"/>
      <c r="E138" s="469">
        <f>SUM(E99:E137)</f>
        <v>41</v>
      </c>
      <c r="F138" s="267"/>
      <c r="G138" s="267"/>
      <c r="H138" s="267"/>
      <c r="I138" s="469">
        <f>SUM(I99:I137)</f>
        <v>41</v>
      </c>
      <c r="J138" s="266"/>
      <c r="K138" s="267"/>
      <c r="L138" s="267"/>
      <c r="M138" s="469">
        <f>SUM(M99:M137)</f>
        <v>41</v>
      </c>
      <c r="N138" s="577">
        <f>SUM(N99:N137)</f>
        <v>123</v>
      </c>
    </row>
    <row r="139" spans="1:14" ht="18" customHeight="1" thickTop="1" x14ac:dyDescent="0.25">
      <c r="B139" s="267" t="s">
        <v>1032</v>
      </c>
      <c r="C139" s="267"/>
      <c r="D139" s="267"/>
      <c r="E139" s="267"/>
      <c r="F139" s="267" t="s">
        <v>1033</v>
      </c>
      <c r="G139" s="267"/>
      <c r="H139" s="267"/>
      <c r="I139" s="267"/>
      <c r="J139" s="267" t="s">
        <v>1034</v>
      </c>
      <c r="K139" s="267"/>
      <c r="L139" s="267"/>
      <c r="M139" s="267"/>
      <c r="N139" s="631"/>
    </row>
  </sheetData>
  <sortState xmlns:xlrd2="http://schemas.microsoft.com/office/spreadsheetml/2017/richdata2" ref="A99:BJ136">
    <sortCondition descending="1" ref="E99:E136"/>
    <sortCondition descending="1" ref="I99:I136"/>
    <sortCondition descending="1" ref="M99:M136"/>
  </sortState>
  <mergeCells count="14">
    <mergeCell ref="BG6:BI6"/>
    <mergeCell ref="A1:M1"/>
    <mergeCell ref="J3:M3"/>
    <mergeCell ref="F3:I3"/>
    <mergeCell ref="B3:E3"/>
    <mergeCell ref="AL6:AN6"/>
    <mergeCell ref="N3:Q3"/>
    <mergeCell ref="B6:M6"/>
    <mergeCell ref="AD6:AF6"/>
    <mergeCell ref="BC6:BE6"/>
    <mergeCell ref="AY6:BA6"/>
    <mergeCell ref="AT6:AV6"/>
    <mergeCell ref="AP6:AR6"/>
    <mergeCell ref="AH6:AJ6"/>
  </mergeCells>
  <phoneticPr fontId="9" type="noConversion"/>
  <hyperlinks>
    <hyperlink ref="A32" r:id="rId1" display="http://www.cambridgechordco.org.uk/" xr:uid="{00000000-0004-0000-0D00-000000000000}"/>
    <hyperlink ref="A31" r:id="rId2" display="http://www.cambridgechordco.org.uk/" xr:uid="{00000000-0004-0000-0D00-000001000000}"/>
    <hyperlink ref="A30" r:id="rId3" display="http://www.cambridgechordco.org.uk/" xr:uid="{00000000-0004-0000-0D00-000002000000}"/>
  </hyperlinks>
  <printOptions horizontalCentered="1"/>
  <pageMargins left="0" right="0" top="0" bottom="0" header="0" footer="0"/>
  <pageSetup paperSize="9" scale="32" orientation="landscape" r:id="rId4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119"/>
  <sheetViews>
    <sheetView zoomScaleNormal="100" workbookViewId="0">
      <pane ySplit="3" topLeftCell="A4" activePane="bottomLeft" state="frozen"/>
      <selection pane="bottomLeft" activeCell="R115" sqref="R115"/>
    </sheetView>
  </sheetViews>
  <sheetFormatPr defaultColWidth="9" defaultRowHeight="13.2" x14ac:dyDescent="0.25"/>
  <cols>
    <col min="1" max="1" width="5.6640625" style="444" customWidth="1"/>
    <col min="2" max="2" width="13.21875" style="444" customWidth="1"/>
    <col min="3" max="3" width="20.77734375" style="444" customWidth="1"/>
    <col min="4" max="4" width="11.33203125" style="444" customWidth="1"/>
    <col min="5" max="5" width="12.77734375" style="444" customWidth="1"/>
    <col min="6" max="7" width="11.33203125" style="444" customWidth="1"/>
    <col min="8" max="8" width="25.21875" style="444" customWidth="1"/>
    <col min="9" max="11" width="4.88671875" style="444" customWidth="1"/>
    <col min="12" max="12" width="3.44140625" style="444" customWidth="1"/>
    <col min="13" max="13" width="6" style="444" customWidth="1"/>
    <col min="14" max="14" width="4.44140625" style="444" customWidth="1"/>
    <col min="15" max="15" width="5.88671875" style="444" customWidth="1"/>
    <col min="16" max="16" width="4.88671875" style="444" customWidth="1"/>
    <col min="17" max="17" width="4.88671875" style="463" customWidth="1"/>
    <col min="18" max="18" width="5.33203125" style="444" customWidth="1"/>
    <col min="19" max="16384" width="9" style="444"/>
  </cols>
  <sheetData>
    <row r="1" spans="1:18" ht="15.6" x14ac:dyDescent="0.3">
      <c r="A1" s="452" t="s">
        <v>1469</v>
      </c>
      <c r="B1" s="452"/>
      <c r="C1" s="443"/>
      <c r="D1" s="443"/>
      <c r="E1" s="443"/>
      <c r="F1" s="443"/>
      <c r="G1" s="443"/>
    </row>
    <row r="2" spans="1:18" s="463" customFormat="1" ht="10.199999999999999" x14ac:dyDescent="0.2">
      <c r="A2" s="456"/>
      <c r="B2" s="456"/>
      <c r="C2" s="456"/>
      <c r="D2" s="456"/>
      <c r="E2" s="456"/>
      <c r="F2" s="456"/>
      <c r="G2" s="456"/>
      <c r="I2" s="463" t="s">
        <v>2975</v>
      </c>
      <c r="J2" s="463" t="s">
        <v>2976</v>
      </c>
      <c r="K2" s="463" t="s">
        <v>1487</v>
      </c>
      <c r="L2" s="463" t="s">
        <v>2977</v>
      </c>
    </row>
    <row r="3" spans="1:18" s="458" customFormat="1" ht="38.25" customHeight="1" x14ac:dyDescent="0.2">
      <c r="A3" s="457" t="s">
        <v>2539</v>
      </c>
      <c r="B3" s="457" t="s">
        <v>2016</v>
      </c>
      <c r="C3" s="457" t="s">
        <v>3376</v>
      </c>
      <c r="D3" s="457" t="s">
        <v>2017</v>
      </c>
      <c r="E3" s="457" t="s">
        <v>2018</v>
      </c>
      <c r="F3" s="457" t="s">
        <v>2019</v>
      </c>
      <c r="G3" s="457" t="s">
        <v>2020</v>
      </c>
      <c r="H3" s="458" t="s">
        <v>1470</v>
      </c>
      <c r="I3" s="459" t="s">
        <v>2992</v>
      </c>
      <c r="J3" s="459" t="s">
        <v>329</v>
      </c>
      <c r="K3" s="459" t="s">
        <v>1471</v>
      </c>
      <c r="L3" s="459"/>
      <c r="M3" s="460" t="s">
        <v>1472</v>
      </c>
      <c r="N3" s="460" t="s">
        <v>2987</v>
      </c>
      <c r="O3" s="461" t="s">
        <v>2988</v>
      </c>
      <c r="P3" s="462" t="s">
        <v>2287</v>
      </c>
      <c r="Q3" s="462" t="s">
        <v>2288</v>
      </c>
      <c r="R3" s="458" t="s">
        <v>2289</v>
      </c>
    </row>
    <row r="4" spans="1:18" ht="13.8" thickBot="1" x14ac:dyDescent="0.3">
      <c r="A4" s="443"/>
      <c r="B4" s="443"/>
      <c r="C4" s="443"/>
      <c r="D4" s="443"/>
      <c r="E4" s="443"/>
      <c r="F4" s="443"/>
      <c r="G4" s="443"/>
      <c r="I4" s="454"/>
      <c r="J4" s="454"/>
      <c r="K4" s="454"/>
      <c r="L4" s="454"/>
      <c r="M4" s="455"/>
      <c r="N4" s="456"/>
      <c r="O4" s="453"/>
      <c r="P4" s="456"/>
    </row>
    <row r="5" spans="1:18" x14ac:dyDescent="0.25">
      <c r="A5" s="445" t="s">
        <v>1856</v>
      </c>
      <c r="B5" s="446" t="s">
        <v>515</v>
      </c>
      <c r="C5" s="446" t="s">
        <v>2029</v>
      </c>
      <c r="D5" s="445" t="s">
        <v>1857</v>
      </c>
      <c r="E5" s="445" t="s">
        <v>593</v>
      </c>
      <c r="F5" s="445" t="s">
        <v>594</v>
      </c>
      <c r="G5" s="445" t="s">
        <v>1858</v>
      </c>
      <c r="H5" s="430" t="s">
        <v>1486</v>
      </c>
      <c r="I5" s="431">
        <v>256</v>
      </c>
      <c r="J5" s="432">
        <v>121</v>
      </c>
      <c r="K5" s="433">
        <v>7</v>
      </c>
      <c r="L5" s="434"/>
      <c r="M5" s="434">
        <f>SUM(I5:K5)</f>
        <v>384</v>
      </c>
      <c r="N5" s="435"/>
      <c r="O5" s="436"/>
      <c r="P5" s="437">
        <v>1</v>
      </c>
      <c r="Q5" s="437"/>
    </row>
    <row r="6" spans="1:18" ht="13.8" thickBot="1" x14ac:dyDescent="0.3">
      <c r="A6" s="445"/>
      <c r="B6" s="446"/>
      <c r="C6" s="446"/>
      <c r="D6" s="445"/>
      <c r="E6" s="445"/>
      <c r="F6" s="445"/>
      <c r="G6" s="445"/>
      <c r="H6" s="430" t="s">
        <v>2220</v>
      </c>
      <c r="I6" s="438">
        <v>256</v>
      </c>
      <c r="J6" s="439">
        <v>123</v>
      </c>
      <c r="K6" s="440">
        <v>10</v>
      </c>
      <c r="L6" s="434">
        <v>237</v>
      </c>
      <c r="M6" s="434">
        <f>SUM(I6:L6)</f>
        <v>626</v>
      </c>
      <c r="N6" s="434">
        <f>+M5+M6</f>
        <v>1010</v>
      </c>
      <c r="O6" s="441"/>
      <c r="P6" s="430">
        <v>5</v>
      </c>
      <c r="Q6" s="430"/>
    </row>
    <row r="7" spans="1:18" x14ac:dyDescent="0.25">
      <c r="A7" s="445"/>
      <c r="B7" s="446"/>
      <c r="C7" s="446"/>
      <c r="D7" s="445"/>
      <c r="E7" s="445"/>
      <c r="F7" s="445"/>
      <c r="G7" s="445"/>
      <c r="H7" s="442"/>
      <c r="I7" s="434">
        <f>I5+I6</f>
        <v>512</v>
      </c>
      <c r="J7" s="434">
        <f>J5+J6</f>
        <v>244</v>
      </c>
      <c r="K7" s="434">
        <f>K5+K6</f>
        <v>17</v>
      </c>
      <c r="L7" s="434"/>
      <c r="M7" s="435"/>
      <c r="N7" s="435"/>
      <c r="O7" s="435"/>
      <c r="P7" s="442"/>
    </row>
    <row r="8" spans="1:18" ht="13.8" thickBot="1" x14ac:dyDescent="0.3">
      <c r="A8" s="445"/>
      <c r="B8" s="446"/>
      <c r="C8" s="446"/>
      <c r="D8" s="445"/>
      <c r="E8" s="445"/>
      <c r="F8" s="445"/>
      <c r="G8" s="445"/>
    </row>
    <row r="9" spans="1:18" x14ac:dyDescent="0.25">
      <c r="A9" s="445" t="s">
        <v>209</v>
      </c>
      <c r="B9" s="446" t="s">
        <v>210</v>
      </c>
      <c r="C9" s="446" t="s">
        <v>211</v>
      </c>
      <c r="D9" s="445" t="s">
        <v>2738</v>
      </c>
      <c r="E9" s="445" t="s">
        <v>212</v>
      </c>
      <c r="F9" s="445" t="s">
        <v>213</v>
      </c>
      <c r="G9" s="445" t="s">
        <v>214</v>
      </c>
      <c r="H9" s="430" t="s">
        <v>1488</v>
      </c>
      <c r="I9" s="431">
        <f>172/2*3</f>
        <v>258</v>
      </c>
      <c r="J9" s="432">
        <f>96/2*3</f>
        <v>144</v>
      </c>
      <c r="K9" s="433">
        <v>12</v>
      </c>
      <c r="L9" s="434"/>
      <c r="M9" s="434">
        <f>SUM(I9:K9)</f>
        <v>414</v>
      </c>
      <c r="N9" s="435"/>
      <c r="O9" s="436"/>
      <c r="P9" s="437">
        <v>1</v>
      </c>
      <c r="Q9" s="437"/>
    </row>
    <row r="10" spans="1:18" ht="13.8" thickBot="1" x14ac:dyDescent="0.3">
      <c r="A10" s="445"/>
      <c r="B10" s="446"/>
      <c r="C10" s="446"/>
      <c r="D10" s="445"/>
      <c r="E10" s="445"/>
      <c r="F10" s="445"/>
      <c r="G10" s="445"/>
      <c r="H10" s="430" t="s">
        <v>1489</v>
      </c>
      <c r="I10" s="438">
        <f>172/2*3</f>
        <v>258</v>
      </c>
      <c r="J10" s="439">
        <f>109/2*3</f>
        <v>164</v>
      </c>
      <c r="K10" s="440">
        <v>8</v>
      </c>
      <c r="L10" s="434">
        <f>201/2*3</f>
        <v>302</v>
      </c>
      <c r="M10" s="434">
        <f>SUM(I10:L10)</f>
        <v>732</v>
      </c>
      <c r="N10" s="434">
        <f>+M9+M10</f>
        <v>1146</v>
      </c>
      <c r="O10" s="441"/>
      <c r="P10" s="430">
        <v>2</v>
      </c>
      <c r="Q10" s="430"/>
    </row>
    <row r="11" spans="1:18" x14ac:dyDescent="0.25">
      <c r="A11" s="445"/>
      <c r="B11" s="446"/>
      <c r="C11" s="446"/>
      <c r="D11" s="445"/>
      <c r="E11" s="445"/>
      <c r="F11" s="445"/>
      <c r="G11" s="445"/>
      <c r="H11" s="442"/>
      <c r="I11" s="434">
        <f>I9+I10</f>
        <v>516</v>
      </c>
      <c r="J11" s="434">
        <f>J9+J10</f>
        <v>308</v>
      </c>
      <c r="K11" s="434">
        <f>K9+K10</f>
        <v>20</v>
      </c>
      <c r="L11" s="434"/>
      <c r="M11" s="435"/>
      <c r="N11" s="435"/>
      <c r="O11" s="435"/>
      <c r="P11" s="442"/>
    </row>
    <row r="12" spans="1:18" ht="13.8" thickBot="1" x14ac:dyDescent="0.3">
      <c r="A12" s="445"/>
      <c r="B12" s="446"/>
      <c r="C12" s="446"/>
      <c r="D12" s="445"/>
      <c r="E12" s="445"/>
      <c r="F12" s="445"/>
      <c r="G12" s="445"/>
    </row>
    <row r="13" spans="1:18" x14ac:dyDescent="0.25">
      <c r="A13" s="445" t="s">
        <v>2708</v>
      </c>
      <c r="B13" s="446" t="s">
        <v>2709</v>
      </c>
      <c r="C13" s="446" t="s">
        <v>2710</v>
      </c>
      <c r="D13" s="445" t="s">
        <v>2711</v>
      </c>
      <c r="E13" s="445" t="s">
        <v>1866</v>
      </c>
      <c r="F13" s="445" t="s">
        <v>207</v>
      </c>
      <c r="G13" s="445" t="s">
        <v>2712</v>
      </c>
      <c r="H13" s="430" t="s">
        <v>1490</v>
      </c>
      <c r="I13" s="431">
        <f>161/2*3</f>
        <v>242</v>
      </c>
      <c r="J13" s="432">
        <v>202</v>
      </c>
      <c r="K13" s="433">
        <v>136</v>
      </c>
      <c r="L13" s="434"/>
      <c r="M13" s="434">
        <f>SUM(I13:K13)</f>
        <v>580</v>
      </c>
      <c r="N13" s="435"/>
      <c r="O13" s="436"/>
      <c r="P13" s="437">
        <v>1</v>
      </c>
      <c r="Q13" s="437"/>
    </row>
    <row r="14" spans="1:18" ht="13.8" thickBot="1" x14ac:dyDescent="0.3">
      <c r="A14" s="445"/>
      <c r="B14" s="446"/>
      <c r="C14" s="446"/>
      <c r="D14" s="445"/>
      <c r="E14" s="445"/>
      <c r="F14" s="445"/>
      <c r="G14" s="445"/>
      <c r="H14" s="430" t="s">
        <v>1491</v>
      </c>
      <c r="I14" s="438">
        <f>163/2*3</f>
        <v>245</v>
      </c>
      <c r="J14" s="439">
        <v>199</v>
      </c>
      <c r="K14" s="440">
        <v>136</v>
      </c>
      <c r="L14" s="434"/>
      <c r="M14" s="434">
        <f>SUM(I14:K14)</f>
        <v>580</v>
      </c>
      <c r="N14" s="434">
        <f>+M13+M14</f>
        <v>1160</v>
      </c>
      <c r="O14" s="441">
        <f>+N14/1800</f>
        <v>0.64439999999999997</v>
      </c>
      <c r="P14" s="430">
        <v>4</v>
      </c>
      <c r="Q14" s="430"/>
    </row>
    <row r="15" spans="1:18" x14ac:dyDescent="0.25">
      <c r="A15" s="445"/>
      <c r="B15" s="446"/>
      <c r="C15" s="446"/>
      <c r="D15" s="445"/>
      <c r="E15" s="445"/>
      <c r="F15" s="445"/>
      <c r="G15" s="445"/>
      <c r="H15" s="442"/>
      <c r="I15" s="434">
        <f>I13+I14</f>
        <v>487</v>
      </c>
      <c r="J15" s="434">
        <f>J13+J14</f>
        <v>401</v>
      </c>
      <c r="K15" s="434">
        <f>K13+K14</f>
        <v>272</v>
      </c>
      <c r="L15" s="434"/>
      <c r="M15" s="435"/>
      <c r="N15" s="435"/>
      <c r="O15" s="435"/>
      <c r="P15" s="442"/>
    </row>
    <row r="16" spans="1:18" ht="13.8" thickBot="1" x14ac:dyDescent="0.3">
      <c r="A16" s="445"/>
      <c r="B16" s="446"/>
      <c r="C16" s="446"/>
      <c r="D16" s="445"/>
      <c r="E16" s="445"/>
      <c r="F16" s="445"/>
      <c r="G16" s="445"/>
    </row>
    <row r="17" spans="1:17" x14ac:dyDescent="0.25">
      <c r="A17" s="445" t="s">
        <v>275</v>
      </c>
      <c r="B17" s="446" t="s">
        <v>292</v>
      </c>
      <c r="C17" s="446" t="s">
        <v>2029</v>
      </c>
      <c r="D17" s="445" t="s">
        <v>597</v>
      </c>
      <c r="E17" s="445" t="s">
        <v>2025</v>
      </c>
      <c r="F17" s="445" t="s">
        <v>658</v>
      </c>
      <c r="G17" s="445" t="s">
        <v>514</v>
      </c>
      <c r="H17" s="430" t="s">
        <v>606</v>
      </c>
      <c r="I17" s="431"/>
      <c r="J17" s="432"/>
      <c r="K17" s="433"/>
      <c r="L17" s="434"/>
      <c r="M17" s="434">
        <f>SUM(I17:K17)</f>
        <v>0</v>
      </c>
      <c r="N17" s="435"/>
      <c r="O17" s="436"/>
      <c r="P17" s="437">
        <v>1</v>
      </c>
      <c r="Q17" s="437"/>
    </row>
    <row r="18" spans="1:17" ht="13.8" thickBot="1" x14ac:dyDescent="0.3">
      <c r="A18" s="445"/>
      <c r="B18" s="446"/>
      <c r="C18" s="446"/>
      <c r="D18" s="445"/>
      <c r="E18" s="445"/>
      <c r="F18" s="445"/>
      <c r="G18" s="445"/>
      <c r="H18" s="430" t="s">
        <v>1468</v>
      </c>
      <c r="I18" s="438"/>
      <c r="J18" s="439"/>
      <c r="K18" s="440"/>
      <c r="L18" s="434"/>
      <c r="M18" s="434">
        <f>SUM(I18:K18)</f>
        <v>0</v>
      </c>
      <c r="N18" s="434">
        <f>+M17+M18</f>
        <v>0</v>
      </c>
      <c r="O18" s="441">
        <f>+N18/1800</f>
        <v>0</v>
      </c>
      <c r="P18" s="430">
        <v>3</v>
      </c>
      <c r="Q18" s="430"/>
    </row>
    <row r="19" spans="1:17" x14ac:dyDescent="0.25">
      <c r="A19" s="445"/>
      <c r="B19" s="446"/>
      <c r="C19" s="446"/>
      <c r="D19" s="445"/>
      <c r="E19" s="445"/>
      <c r="F19" s="445"/>
      <c r="G19" s="445"/>
      <c r="H19" s="442"/>
      <c r="I19" s="434">
        <f>I17+I18</f>
        <v>0</v>
      </c>
      <c r="J19" s="434">
        <f>J17+J18</f>
        <v>0</v>
      </c>
      <c r="K19" s="434">
        <f>K17+K18</f>
        <v>0</v>
      </c>
      <c r="L19" s="434"/>
      <c r="M19" s="435"/>
      <c r="N19" s="435"/>
      <c r="O19" s="435"/>
      <c r="P19" s="442"/>
    </row>
    <row r="20" spans="1:17" ht="13.8" thickBot="1" x14ac:dyDescent="0.3">
      <c r="A20" s="445"/>
      <c r="B20" s="446"/>
      <c r="C20" s="446"/>
      <c r="D20" s="445"/>
      <c r="E20" s="445"/>
      <c r="F20" s="445"/>
      <c r="G20" s="445"/>
    </row>
    <row r="21" spans="1:17" x14ac:dyDescent="0.25">
      <c r="A21" s="445" t="s">
        <v>1963</v>
      </c>
      <c r="B21" s="446" t="s">
        <v>293</v>
      </c>
      <c r="C21" s="446" t="s">
        <v>579</v>
      </c>
      <c r="D21" s="445" t="s">
        <v>299</v>
      </c>
      <c r="E21" s="445" t="s">
        <v>295</v>
      </c>
      <c r="F21" s="445" t="s">
        <v>296</v>
      </c>
      <c r="G21" s="445" t="s">
        <v>297</v>
      </c>
      <c r="H21" s="430" t="s">
        <v>607</v>
      </c>
      <c r="I21" s="431"/>
      <c r="J21" s="432"/>
      <c r="K21" s="433"/>
      <c r="L21" s="434"/>
      <c r="M21" s="434">
        <f>SUM(I21:K21)</f>
        <v>0</v>
      </c>
      <c r="N21" s="435"/>
      <c r="O21" s="436"/>
      <c r="P21" s="437">
        <v>1</v>
      </c>
      <c r="Q21" s="437"/>
    </row>
    <row r="22" spans="1:17" ht="13.8" thickBot="1" x14ac:dyDescent="0.3">
      <c r="A22" s="445"/>
      <c r="B22" s="446"/>
      <c r="C22" s="446"/>
      <c r="D22" s="445"/>
      <c r="E22" s="445"/>
      <c r="F22" s="445"/>
      <c r="G22" s="445"/>
      <c r="H22" s="430" t="s">
        <v>608</v>
      </c>
      <c r="I22" s="438"/>
      <c r="J22" s="439"/>
      <c r="K22" s="440"/>
      <c r="L22" s="434"/>
      <c r="M22" s="434">
        <f>SUM(I22:K22)</f>
        <v>0</v>
      </c>
      <c r="N22" s="434">
        <f>+M21+M22</f>
        <v>0</v>
      </c>
      <c r="O22" s="441">
        <f>+N22/1800</f>
        <v>0</v>
      </c>
      <c r="P22" s="430">
        <v>4</v>
      </c>
      <c r="Q22" s="430"/>
    </row>
    <row r="23" spans="1:17" x14ac:dyDescent="0.25">
      <c r="A23" s="445"/>
      <c r="B23" s="446"/>
      <c r="C23" s="446"/>
      <c r="D23" s="445"/>
      <c r="E23" s="445"/>
      <c r="F23" s="445"/>
      <c r="G23" s="445"/>
      <c r="H23" s="442"/>
      <c r="I23" s="434">
        <f>I21+I22</f>
        <v>0</v>
      </c>
      <c r="J23" s="434">
        <f>J21+J22</f>
        <v>0</v>
      </c>
      <c r="K23" s="434">
        <f>K21+K22</f>
        <v>0</v>
      </c>
      <c r="L23" s="434"/>
      <c r="M23" s="435"/>
      <c r="N23" s="435"/>
      <c r="O23" s="435"/>
      <c r="P23" s="442"/>
    </row>
    <row r="24" spans="1:17" ht="13.8" thickBot="1" x14ac:dyDescent="0.3">
      <c r="A24" s="445"/>
      <c r="B24" s="446"/>
      <c r="C24" s="446"/>
      <c r="D24" s="445"/>
      <c r="E24" s="445"/>
      <c r="F24" s="445"/>
      <c r="G24" s="445"/>
    </row>
    <row r="25" spans="1:17" x14ac:dyDescent="0.25">
      <c r="A25" s="445" t="s">
        <v>1966</v>
      </c>
      <c r="B25" s="446" t="s">
        <v>304</v>
      </c>
      <c r="C25" s="446" t="s">
        <v>2710</v>
      </c>
      <c r="D25" s="445" t="s">
        <v>305</v>
      </c>
      <c r="E25" s="445" t="s">
        <v>3633</v>
      </c>
      <c r="F25" s="445" t="s">
        <v>208</v>
      </c>
      <c r="G25" s="445" t="s">
        <v>2462</v>
      </c>
      <c r="H25" s="430" t="s">
        <v>609</v>
      </c>
      <c r="I25" s="431"/>
      <c r="J25" s="432"/>
      <c r="K25" s="433"/>
      <c r="L25" s="434"/>
      <c r="M25" s="434">
        <f>SUM(I25:K25)</f>
        <v>0</v>
      </c>
      <c r="N25" s="435"/>
      <c r="O25" s="436"/>
      <c r="P25" s="437">
        <v>1</v>
      </c>
      <c r="Q25" s="437"/>
    </row>
    <row r="26" spans="1:17" ht="13.8" thickBot="1" x14ac:dyDescent="0.3">
      <c r="A26" s="445"/>
      <c r="B26" s="446"/>
      <c r="C26" s="446"/>
      <c r="D26" s="445"/>
      <c r="E26" s="445"/>
      <c r="F26" s="445"/>
      <c r="G26" s="445"/>
      <c r="H26" s="430" t="s">
        <v>610</v>
      </c>
      <c r="I26" s="438"/>
      <c r="J26" s="439"/>
      <c r="K26" s="440"/>
      <c r="L26" s="434"/>
      <c r="M26" s="434">
        <f>SUM(I26:K26)</f>
        <v>0</v>
      </c>
      <c r="N26" s="434">
        <f>+M25+M26</f>
        <v>0</v>
      </c>
      <c r="O26" s="441">
        <f>+N26/1800</f>
        <v>0</v>
      </c>
      <c r="P26" s="430">
        <v>2</v>
      </c>
      <c r="Q26" s="430"/>
    </row>
    <row r="27" spans="1:17" x14ac:dyDescent="0.25">
      <c r="A27" s="445"/>
      <c r="B27" s="446"/>
      <c r="C27" s="446"/>
      <c r="D27" s="445"/>
      <c r="E27" s="445"/>
      <c r="F27" s="445"/>
      <c r="G27" s="445"/>
      <c r="H27" s="442"/>
      <c r="I27" s="434">
        <f>I25+I26</f>
        <v>0</v>
      </c>
      <c r="J27" s="434">
        <f>J25+J26</f>
        <v>0</v>
      </c>
      <c r="K27" s="434">
        <f>K25+K26</f>
        <v>0</v>
      </c>
      <c r="L27" s="434"/>
      <c r="M27" s="435"/>
      <c r="N27" s="435"/>
      <c r="O27" s="435"/>
      <c r="P27" s="442"/>
    </row>
    <row r="28" spans="1:17" ht="13.8" thickBot="1" x14ac:dyDescent="0.3">
      <c r="A28" s="445"/>
      <c r="B28" s="446"/>
      <c r="C28" s="446"/>
      <c r="D28" s="445"/>
      <c r="E28" s="445"/>
      <c r="F28" s="445"/>
      <c r="G28" s="445"/>
    </row>
    <row r="29" spans="1:17" x14ac:dyDescent="0.25">
      <c r="A29" s="445" t="s">
        <v>1972</v>
      </c>
      <c r="B29" s="446" t="s">
        <v>2732</v>
      </c>
      <c r="C29" s="446" t="s">
        <v>2733</v>
      </c>
      <c r="D29" s="445" t="s">
        <v>3527</v>
      </c>
      <c r="E29" s="445" t="s">
        <v>2734</v>
      </c>
      <c r="F29" s="445" t="s">
        <v>2735</v>
      </c>
      <c r="G29" s="445" t="s">
        <v>2736</v>
      </c>
      <c r="H29" s="430" t="s">
        <v>611</v>
      </c>
      <c r="I29" s="431"/>
      <c r="J29" s="432"/>
      <c r="K29" s="433"/>
      <c r="L29" s="434"/>
      <c r="M29" s="434">
        <f>SUM(I29:K29)</f>
        <v>0</v>
      </c>
      <c r="N29" s="435"/>
      <c r="O29" s="436"/>
      <c r="P29" s="437">
        <v>1</v>
      </c>
      <c r="Q29" s="437"/>
    </row>
    <row r="30" spans="1:17" ht="13.8" thickBot="1" x14ac:dyDescent="0.3">
      <c r="A30" s="445"/>
      <c r="B30" s="446"/>
      <c r="C30" s="446"/>
      <c r="D30" s="445"/>
      <c r="E30" s="445"/>
      <c r="F30" s="445"/>
      <c r="G30" s="445"/>
      <c r="H30" s="430" t="s">
        <v>612</v>
      </c>
      <c r="I30" s="438">
        <f>224/2*3</f>
        <v>336</v>
      </c>
      <c r="J30" s="439">
        <f>214/2*3</f>
        <v>321</v>
      </c>
      <c r="K30" s="440">
        <f>196/2*3</f>
        <v>294</v>
      </c>
      <c r="L30" s="434"/>
      <c r="M30" s="434">
        <f>SUM(I30:K30)</f>
        <v>951</v>
      </c>
      <c r="N30" s="434">
        <f>+M29+M30</f>
        <v>951</v>
      </c>
      <c r="O30" s="441">
        <f>+N30/1800</f>
        <v>0.52829999999999999</v>
      </c>
      <c r="P30" s="430">
        <v>3</v>
      </c>
      <c r="Q30" s="430"/>
    </row>
    <row r="31" spans="1:17" x14ac:dyDescent="0.25">
      <c r="A31" s="445"/>
      <c r="B31" s="446"/>
      <c r="C31" s="446"/>
      <c r="D31" s="445"/>
      <c r="E31" s="445"/>
      <c r="F31" s="445"/>
      <c r="G31" s="445"/>
      <c r="H31" s="442"/>
      <c r="I31" s="434">
        <f>I29+I30</f>
        <v>336</v>
      </c>
      <c r="J31" s="434">
        <f>J29+J30</f>
        <v>321</v>
      </c>
      <c r="K31" s="434">
        <f>K29+K30</f>
        <v>294</v>
      </c>
      <c r="L31" s="434"/>
      <c r="M31" s="435"/>
      <c r="N31" s="435"/>
      <c r="O31" s="435"/>
      <c r="P31" s="442"/>
    </row>
    <row r="32" spans="1:17" ht="13.8" thickBot="1" x14ac:dyDescent="0.3">
      <c r="A32" s="445"/>
      <c r="B32" s="446"/>
      <c r="C32" s="446"/>
      <c r="D32" s="445"/>
      <c r="E32" s="445"/>
      <c r="F32" s="445"/>
      <c r="G32" s="445"/>
    </row>
    <row r="33" spans="1:17" x14ac:dyDescent="0.25">
      <c r="A33" s="445" t="s">
        <v>2142</v>
      </c>
      <c r="B33" s="446" t="s">
        <v>2638</v>
      </c>
      <c r="C33" s="446" t="s">
        <v>2639</v>
      </c>
      <c r="D33" s="445" t="s">
        <v>2640</v>
      </c>
      <c r="E33" s="445" t="s">
        <v>2641</v>
      </c>
      <c r="F33" s="445" t="s">
        <v>2642</v>
      </c>
      <c r="G33" s="445" t="s">
        <v>2643</v>
      </c>
      <c r="H33" s="430" t="s">
        <v>1492</v>
      </c>
      <c r="I33" s="431">
        <f>171/4*3</f>
        <v>128</v>
      </c>
      <c r="J33" s="432">
        <f>203/4*3</f>
        <v>152</v>
      </c>
      <c r="K33" s="433">
        <f>192/4*3</f>
        <v>144</v>
      </c>
      <c r="L33" s="434"/>
      <c r="M33" s="434">
        <f>SUM(I33:K33)</f>
        <v>424</v>
      </c>
      <c r="N33" s="435"/>
      <c r="O33" s="436"/>
      <c r="P33" s="437">
        <v>1</v>
      </c>
      <c r="Q33" s="437">
        <v>31</v>
      </c>
    </row>
    <row r="34" spans="1:17" ht="13.8" thickBot="1" x14ac:dyDescent="0.3">
      <c r="A34" s="445"/>
      <c r="B34" s="446"/>
      <c r="C34" s="446"/>
      <c r="D34" s="445"/>
      <c r="E34" s="445"/>
      <c r="F34" s="445"/>
      <c r="G34" s="445"/>
      <c r="H34" s="430" t="s">
        <v>2217</v>
      </c>
      <c r="I34" s="438">
        <f>183/4*3</f>
        <v>137</v>
      </c>
      <c r="J34" s="439">
        <f>193/4*3</f>
        <v>145</v>
      </c>
      <c r="K34" s="440">
        <f>183/4*3</f>
        <v>137</v>
      </c>
      <c r="L34" s="434"/>
      <c r="M34" s="434">
        <f>SUM(I34:K34)</f>
        <v>419</v>
      </c>
      <c r="N34" s="434">
        <f>+M33+M34</f>
        <v>843</v>
      </c>
      <c r="O34" s="441">
        <f>+N34/1800</f>
        <v>0.46829999999999999</v>
      </c>
      <c r="P34" s="430">
        <v>2</v>
      </c>
      <c r="Q34" s="430">
        <v>38</v>
      </c>
    </row>
    <row r="35" spans="1:17" x14ac:dyDescent="0.25">
      <c r="A35" s="445"/>
      <c r="B35" s="446"/>
      <c r="C35" s="446"/>
      <c r="D35" s="445"/>
      <c r="E35" s="445"/>
      <c r="F35" s="445"/>
      <c r="G35" s="445"/>
      <c r="H35" s="442"/>
      <c r="I35" s="434">
        <f>I33+I34</f>
        <v>265</v>
      </c>
      <c r="J35" s="434">
        <f>J33+J34</f>
        <v>297</v>
      </c>
      <c r="K35" s="434">
        <f>K33+K34</f>
        <v>281</v>
      </c>
      <c r="L35" s="434"/>
      <c r="M35" s="435"/>
      <c r="N35" s="435"/>
      <c r="O35" s="435"/>
      <c r="P35" s="442"/>
    </row>
    <row r="36" spans="1:17" ht="13.8" thickBot="1" x14ac:dyDescent="0.3">
      <c r="A36" s="445"/>
      <c r="B36" s="446"/>
      <c r="C36" s="446"/>
      <c r="D36" s="445"/>
      <c r="E36" s="445"/>
      <c r="F36" s="445"/>
      <c r="G36" s="445"/>
    </row>
    <row r="37" spans="1:17" x14ac:dyDescent="0.25">
      <c r="A37" s="445" t="s">
        <v>2143</v>
      </c>
      <c r="B37" s="446" t="s">
        <v>2649</v>
      </c>
      <c r="C37" s="446" t="s">
        <v>2650</v>
      </c>
      <c r="D37" s="447" t="s">
        <v>2651</v>
      </c>
      <c r="E37" s="447" t="s">
        <v>585</v>
      </c>
      <c r="F37" s="447" t="s">
        <v>2652</v>
      </c>
      <c r="G37" s="447" t="s">
        <v>2653</v>
      </c>
      <c r="H37" s="430" t="s">
        <v>1467</v>
      </c>
      <c r="I37" s="431">
        <f>69*3</f>
        <v>207</v>
      </c>
      <c r="J37" s="432">
        <f>69*3</f>
        <v>207</v>
      </c>
      <c r="K37" s="433">
        <f>67*3</f>
        <v>201</v>
      </c>
      <c r="L37" s="434"/>
      <c r="M37" s="434">
        <f>SUM(I37:K37)</f>
        <v>615</v>
      </c>
      <c r="N37" s="435"/>
      <c r="O37" s="436"/>
      <c r="P37" s="437">
        <v>1</v>
      </c>
      <c r="Q37" s="437">
        <v>19</v>
      </c>
    </row>
    <row r="38" spans="1:17" ht="13.8" thickBot="1" x14ac:dyDescent="0.3">
      <c r="A38" s="445"/>
      <c r="B38" s="446"/>
      <c r="C38" s="446"/>
      <c r="D38" s="447"/>
      <c r="E38" s="447"/>
      <c r="F38" s="447"/>
      <c r="G38" s="447"/>
      <c r="H38" s="430" t="s">
        <v>1468</v>
      </c>
      <c r="I38" s="438">
        <f>72*3</f>
        <v>216</v>
      </c>
      <c r="J38" s="439">
        <f>67*3</f>
        <v>201</v>
      </c>
      <c r="K38" s="440">
        <f>63*3</f>
        <v>189</v>
      </c>
      <c r="L38" s="434"/>
      <c r="M38" s="434">
        <f>SUM(I38:K38)</f>
        <v>606</v>
      </c>
      <c r="N38" s="434">
        <f>+M37+M38</f>
        <v>1221</v>
      </c>
      <c r="O38" s="441">
        <f>+N38/1800</f>
        <v>0.67830000000000001</v>
      </c>
      <c r="P38" s="430">
        <v>3</v>
      </c>
      <c r="Q38" s="430">
        <v>33</v>
      </c>
    </row>
    <row r="39" spans="1:17" x14ac:dyDescent="0.25">
      <c r="A39" s="445"/>
      <c r="B39" s="446"/>
      <c r="C39" s="446"/>
      <c r="D39" s="447"/>
      <c r="E39" s="447"/>
      <c r="F39" s="447"/>
      <c r="G39" s="447"/>
      <c r="H39" s="442"/>
      <c r="I39" s="434">
        <f>I37+I38</f>
        <v>423</v>
      </c>
      <c r="J39" s="434">
        <f>J37+J38</f>
        <v>408</v>
      </c>
      <c r="K39" s="434">
        <f>K37+K38</f>
        <v>390</v>
      </c>
      <c r="L39" s="434"/>
      <c r="M39" s="435"/>
      <c r="N39" s="435"/>
      <c r="O39" s="435"/>
      <c r="P39" s="442"/>
    </row>
    <row r="40" spans="1:17" ht="13.8" thickBot="1" x14ac:dyDescent="0.3">
      <c r="A40" s="445"/>
      <c r="B40" s="446"/>
      <c r="C40" s="446"/>
      <c r="D40" s="447"/>
      <c r="E40" s="447"/>
      <c r="F40" s="447"/>
      <c r="G40" s="447"/>
    </row>
    <row r="41" spans="1:17" x14ac:dyDescent="0.25">
      <c r="A41" s="445" t="s">
        <v>3655</v>
      </c>
      <c r="B41" s="446" t="s">
        <v>2644</v>
      </c>
      <c r="C41" s="446" t="s">
        <v>3526</v>
      </c>
      <c r="D41" s="445" t="s">
        <v>2645</v>
      </c>
      <c r="E41" s="445" t="s">
        <v>2646</v>
      </c>
      <c r="F41" s="445" t="s">
        <v>2647</v>
      </c>
      <c r="G41" s="445" t="s">
        <v>2648</v>
      </c>
      <c r="H41" s="430" t="s">
        <v>2218</v>
      </c>
      <c r="I41" s="431">
        <f>79/2*3</f>
        <v>119</v>
      </c>
      <c r="J41" s="432">
        <f>90/2*3</f>
        <v>135</v>
      </c>
      <c r="K41" s="433">
        <f>85/2*3</f>
        <v>128</v>
      </c>
      <c r="L41" s="434"/>
      <c r="M41" s="434">
        <f>SUM(I41:K41)</f>
        <v>382</v>
      </c>
      <c r="N41" s="435"/>
      <c r="O41" s="436"/>
      <c r="P41" s="437">
        <v>1</v>
      </c>
      <c r="Q41" s="437">
        <v>30</v>
      </c>
    </row>
    <row r="42" spans="1:17" ht="13.8" thickBot="1" x14ac:dyDescent="0.3">
      <c r="A42" s="445"/>
      <c r="B42" s="446"/>
      <c r="C42" s="446"/>
      <c r="D42" s="445"/>
      <c r="E42" s="445"/>
      <c r="F42" s="445"/>
      <c r="G42" s="445"/>
      <c r="H42" s="430" t="s">
        <v>2219</v>
      </c>
      <c r="I42" s="438">
        <f>78/2*3</f>
        <v>117</v>
      </c>
      <c r="J42" s="439">
        <f>87/2*3</f>
        <v>131</v>
      </c>
      <c r="K42" s="440">
        <f>81/2*3</f>
        <v>122</v>
      </c>
      <c r="L42" s="434"/>
      <c r="M42" s="434">
        <f>SUM(I42:K42)</f>
        <v>370</v>
      </c>
      <c r="N42" s="434">
        <f>+M41+M42</f>
        <v>752</v>
      </c>
      <c r="O42" s="441">
        <f>+N42/1800</f>
        <v>0.4178</v>
      </c>
      <c r="P42" s="430">
        <v>1</v>
      </c>
      <c r="Q42" s="430">
        <v>30</v>
      </c>
    </row>
    <row r="43" spans="1:17" x14ac:dyDescent="0.25">
      <c r="A43" s="445"/>
      <c r="B43" s="446"/>
      <c r="C43" s="446"/>
      <c r="D43" s="445"/>
      <c r="E43" s="445"/>
      <c r="F43" s="445"/>
      <c r="G43" s="445"/>
      <c r="H43" s="442"/>
      <c r="I43" s="434">
        <f>I41+I42</f>
        <v>236</v>
      </c>
      <c r="J43" s="434">
        <f>J41+J42</f>
        <v>266</v>
      </c>
      <c r="K43" s="434">
        <f>K41+K42</f>
        <v>250</v>
      </c>
      <c r="L43" s="434"/>
      <c r="M43" s="435"/>
      <c r="N43" s="435"/>
      <c r="O43" s="435"/>
      <c r="P43" s="442"/>
    </row>
    <row r="44" spans="1:17" ht="13.8" thickBot="1" x14ac:dyDescent="0.3">
      <c r="A44" s="445"/>
      <c r="B44" s="446"/>
      <c r="C44" s="446"/>
      <c r="D44" s="445"/>
      <c r="E44" s="445"/>
      <c r="F44" s="445"/>
      <c r="G44" s="445"/>
    </row>
    <row r="45" spans="1:17" x14ac:dyDescent="0.25">
      <c r="A45" s="445" t="s">
        <v>198</v>
      </c>
      <c r="B45" s="446" t="s">
        <v>2737</v>
      </c>
      <c r="C45" s="446" t="s">
        <v>2146</v>
      </c>
      <c r="D45" s="445" t="s">
        <v>2654</v>
      </c>
      <c r="E45" s="445" t="s">
        <v>2658</v>
      </c>
      <c r="F45" s="445" t="s">
        <v>2659</v>
      </c>
      <c r="G45" s="445" t="s">
        <v>2660</v>
      </c>
      <c r="H45" s="430" t="s">
        <v>3641</v>
      </c>
      <c r="I45" s="431">
        <f>109/2*3</f>
        <v>164</v>
      </c>
      <c r="J45" s="432">
        <f>101/2*3</f>
        <v>152</v>
      </c>
      <c r="K45" s="433">
        <f>80/2*3</f>
        <v>120</v>
      </c>
      <c r="L45" s="434"/>
      <c r="M45" s="434">
        <f>SUM(I45:K45)</f>
        <v>436</v>
      </c>
      <c r="N45" s="435"/>
      <c r="O45" s="436"/>
      <c r="P45" s="437">
        <v>1</v>
      </c>
      <c r="Q45" s="437">
        <v>22</v>
      </c>
    </row>
    <row r="46" spans="1:17" ht="13.8" thickBot="1" x14ac:dyDescent="0.3">
      <c r="A46" s="445"/>
      <c r="B46" s="446"/>
      <c r="C46" s="446"/>
      <c r="D46" s="445"/>
      <c r="E46" s="445"/>
      <c r="F46" s="445"/>
      <c r="G46" s="445"/>
      <c r="H46" s="430" t="s">
        <v>1485</v>
      </c>
      <c r="I46" s="438">
        <f>99/2*3</f>
        <v>149</v>
      </c>
      <c r="J46" s="439">
        <f>92/2*3</f>
        <v>138</v>
      </c>
      <c r="K46" s="440">
        <f>80/2*3</f>
        <v>120</v>
      </c>
      <c r="L46" s="434"/>
      <c r="M46" s="434">
        <f>SUM(I46:K46)</f>
        <v>407</v>
      </c>
      <c r="N46" s="434">
        <f>+M45+M46</f>
        <v>843</v>
      </c>
      <c r="O46" s="441">
        <f>+N46/1800</f>
        <v>0.46829999999999999</v>
      </c>
      <c r="P46" s="430">
        <v>3</v>
      </c>
      <c r="Q46" s="430">
        <v>24</v>
      </c>
    </row>
    <row r="47" spans="1:17" x14ac:dyDescent="0.25">
      <c r="A47" s="445"/>
      <c r="B47" s="446"/>
      <c r="C47" s="446"/>
      <c r="D47" s="445"/>
      <c r="E47" s="445"/>
      <c r="F47" s="445"/>
      <c r="G47" s="445"/>
      <c r="H47" s="442"/>
      <c r="I47" s="434">
        <f>I45+I46</f>
        <v>313</v>
      </c>
      <c r="J47" s="434">
        <f>J45+J46</f>
        <v>290</v>
      </c>
      <c r="K47" s="434">
        <f>K45+K46</f>
        <v>240</v>
      </c>
      <c r="L47" s="434"/>
      <c r="M47" s="435"/>
      <c r="N47" s="435"/>
      <c r="O47" s="435"/>
      <c r="P47" s="442"/>
    </row>
    <row r="48" spans="1:17" ht="13.8" thickBot="1" x14ac:dyDescent="0.3">
      <c r="A48" s="445"/>
      <c r="B48" s="446"/>
      <c r="C48" s="446"/>
      <c r="D48" s="445"/>
      <c r="E48" s="445"/>
      <c r="F48" s="445"/>
      <c r="G48" s="445"/>
    </row>
    <row r="49" spans="1:18" x14ac:dyDescent="0.25">
      <c r="A49" s="445" t="s">
        <v>4089</v>
      </c>
      <c r="B49" s="446" t="s">
        <v>2673</v>
      </c>
      <c r="C49" s="446" t="s">
        <v>2668</v>
      </c>
      <c r="D49" s="445" t="s">
        <v>3363</v>
      </c>
      <c r="E49" s="445" t="s">
        <v>3364</v>
      </c>
      <c r="F49" s="448" t="s">
        <v>2674</v>
      </c>
      <c r="G49" s="445" t="s">
        <v>2675</v>
      </c>
      <c r="H49" s="430" t="s">
        <v>1473</v>
      </c>
      <c r="I49" s="431">
        <f>125/2*3</f>
        <v>188</v>
      </c>
      <c r="J49" s="432">
        <f>124/2*3</f>
        <v>186</v>
      </c>
      <c r="K49" s="433">
        <f>125/2*3</f>
        <v>188</v>
      </c>
      <c r="L49" s="434"/>
      <c r="M49" s="434">
        <f>SUM(I49:K49)</f>
        <v>562</v>
      </c>
      <c r="N49" s="435"/>
      <c r="O49" s="436"/>
      <c r="P49" s="437">
        <v>1</v>
      </c>
      <c r="Q49" s="437"/>
    </row>
    <row r="50" spans="1:18" ht="13.8" thickBot="1" x14ac:dyDescent="0.3">
      <c r="A50" s="445"/>
      <c r="B50" s="446"/>
      <c r="C50" s="446"/>
      <c r="D50" s="445"/>
      <c r="E50" s="445"/>
      <c r="F50" s="448"/>
      <c r="G50" s="445"/>
      <c r="H50" s="430" t="s">
        <v>1484</v>
      </c>
      <c r="I50" s="438">
        <f>111/2*3</f>
        <v>167</v>
      </c>
      <c r="J50" s="439">
        <f>123/2*3</f>
        <v>185</v>
      </c>
      <c r="K50" s="440">
        <f>119/2*3</f>
        <v>179</v>
      </c>
      <c r="L50" s="434"/>
      <c r="M50" s="434">
        <f>SUM(I50:K50)</f>
        <v>531</v>
      </c>
      <c r="N50" s="434">
        <f>+M49+M50</f>
        <v>1093</v>
      </c>
      <c r="O50" s="441">
        <f>+N50/1800</f>
        <v>0.60719999999999996</v>
      </c>
      <c r="P50" s="430">
        <v>3</v>
      </c>
      <c r="Q50" s="430"/>
    </row>
    <row r="51" spans="1:18" x14ac:dyDescent="0.25">
      <c r="A51" s="445"/>
      <c r="B51" s="446"/>
      <c r="C51" s="446"/>
      <c r="D51" s="445"/>
      <c r="E51" s="445"/>
      <c r="F51" s="448"/>
      <c r="G51" s="445"/>
      <c r="H51" s="442"/>
      <c r="I51" s="434">
        <f>I49+I50</f>
        <v>355</v>
      </c>
      <c r="J51" s="434">
        <f>J49+J50</f>
        <v>371</v>
      </c>
      <c r="K51" s="434">
        <f>K49+K50</f>
        <v>367</v>
      </c>
      <c r="L51" s="434"/>
      <c r="M51" s="435"/>
      <c r="N51" s="435"/>
      <c r="O51" s="435"/>
      <c r="P51" s="442"/>
    </row>
    <row r="52" spans="1:18" ht="13.8" thickBot="1" x14ac:dyDescent="0.3">
      <c r="A52" s="445"/>
      <c r="B52" s="446"/>
      <c r="C52" s="446"/>
      <c r="D52" s="445"/>
      <c r="E52" s="445"/>
      <c r="F52" s="448"/>
      <c r="G52" s="445"/>
    </row>
    <row r="53" spans="1:18" x14ac:dyDescent="0.25">
      <c r="A53" s="445" t="s">
        <v>4091</v>
      </c>
      <c r="B53" s="446" t="s">
        <v>2681</v>
      </c>
      <c r="C53" s="449" t="s">
        <v>2662</v>
      </c>
      <c r="D53" s="448" t="s">
        <v>2684</v>
      </c>
      <c r="E53" s="448" t="s">
        <v>2664</v>
      </c>
      <c r="F53" s="448" t="s">
        <v>2682</v>
      </c>
      <c r="G53" s="447" t="s">
        <v>2683</v>
      </c>
      <c r="H53" s="430" t="s">
        <v>1482</v>
      </c>
      <c r="I53" s="431">
        <f>98/2*3</f>
        <v>147</v>
      </c>
      <c r="J53" s="432">
        <f>106/2*3</f>
        <v>159</v>
      </c>
      <c r="K53" s="433">
        <f>96/2*3</f>
        <v>144</v>
      </c>
      <c r="L53" s="434"/>
      <c r="M53" s="434">
        <f>SUM(I53:K53)</f>
        <v>450</v>
      </c>
      <c r="N53" s="435"/>
      <c r="O53" s="436"/>
      <c r="P53" s="437">
        <v>1</v>
      </c>
      <c r="Q53" s="437"/>
    </row>
    <row r="54" spans="1:18" ht="13.8" thickBot="1" x14ac:dyDescent="0.3">
      <c r="A54" s="445"/>
      <c r="B54" s="446"/>
      <c r="C54" s="449"/>
      <c r="D54" s="448"/>
      <c r="E54" s="448"/>
      <c r="F54" s="448"/>
      <c r="G54" s="447"/>
      <c r="H54" s="430" t="s">
        <v>1483</v>
      </c>
      <c r="I54" s="438">
        <f>103/2*3</f>
        <v>155</v>
      </c>
      <c r="J54" s="439">
        <f>105/2*3</f>
        <v>158</v>
      </c>
      <c r="K54" s="440">
        <f>96/2*3</f>
        <v>144</v>
      </c>
      <c r="L54" s="434"/>
      <c r="M54" s="434">
        <f>SUM(I54:K54)</f>
        <v>457</v>
      </c>
      <c r="N54" s="434">
        <f>+M53+M54</f>
        <v>907</v>
      </c>
      <c r="O54" s="441">
        <f>+N54/1800</f>
        <v>0.50390000000000001</v>
      </c>
      <c r="P54" s="430">
        <v>3</v>
      </c>
      <c r="Q54" s="430"/>
    </row>
    <row r="55" spans="1:18" x14ac:dyDescent="0.25">
      <c r="A55" s="445"/>
      <c r="B55" s="446"/>
      <c r="C55" s="449"/>
      <c r="D55" s="448"/>
      <c r="E55" s="448"/>
      <c r="F55" s="448"/>
      <c r="G55" s="447"/>
      <c r="H55" s="442"/>
      <c r="I55" s="434">
        <f>I53+I54</f>
        <v>302</v>
      </c>
      <c r="J55" s="434">
        <f>J53+J54</f>
        <v>317</v>
      </c>
      <c r="K55" s="434">
        <f>K53+K54</f>
        <v>288</v>
      </c>
      <c r="L55" s="434"/>
      <c r="M55" s="435"/>
      <c r="N55" s="435"/>
      <c r="O55" s="435"/>
      <c r="P55" s="442"/>
    </row>
    <row r="56" spans="1:18" ht="13.8" thickBot="1" x14ac:dyDescent="0.3">
      <c r="A56" s="445"/>
      <c r="B56" s="446"/>
      <c r="C56" s="449"/>
      <c r="D56" s="448"/>
      <c r="E56" s="448"/>
      <c r="F56" s="448"/>
      <c r="G56" s="447"/>
    </row>
    <row r="57" spans="1:18" x14ac:dyDescent="0.25">
      <c r="A57" s="445" t="s">
        <v>2724</v>
      </c>
      <c r="B57" s="446" t="s">
        <v>2348</v>
      </c>
      <c r="C57" s="449" t="s">
        <v>148</v>
      </c>
      <c r="D57" s="447" t="s">
        <v>2349</v>
      </c>
      <c r="E57" s="447" t="s">
        <v>2350</v>
      </c>
      <c r="F57" s="447" t="s">
        <v>2351</v>
      </c>
      <c r="G57" s="447" t="s">
        <v>2536</v>
      </c>
      <c r="H57" s="430" t="s">
        <v>2631</v>
      </c>
      <c r="I57" s="431">
        <f>134/2*3</f>
        <v>201</v>
      </c>
      <c r="J57" s="432">
        <f>118/2*3</f>
        <v>177</v>
      </c>
      <c r="K57" s="433">
        <f>120/2*3</f>
        <v>180</v>
      </c>
      <c r="L57" s="434"/>
      <c r="M57" s="434">
        <f>SUM(I57:K57)</f>
        <v>558</v>
      </c>
      <c r="N57" s="435"/>
      <c r="O57" s="436"/>
      <c r="P57" s="437">
        <v>1</v>
      </c>
      <c r="Q57" s="437">
        <v>12</v>
      </c>
      <c r="R57" s="437">
        <v>18</v>
      </c>
    </row>
    <row r="58" spans="1:18" ht="13.8" thickBot="1" x14ac:dyDescent="0.3">
      <c r="A58" s="445"/>
      <c r="B58" s="446"/>
      <c r="C58" s="449"/>
      <c r="D58" s="447"/>
      <c r="E58" s="447"/>
      <c r="F58" s="447"/>
      <c r="G58" s="447"/>
      <c r="H58" s="430" t="s">
        <v>1481</v>
      </c>
      <c r="I58" s="438">
        <f>126/2*3</f>
        <v>189</v>
      </c>
      <c r="J58" s="439">
        <f>114/2*3</f>
        <v>171</v>
      </c>
      <c r="K58" s="440">
        <f>122/2*3</f>
        <v>183</v>
      </c>
      <c r="L58" s="434"/>
      <c r="M58" s="434">
        <f>SUM(I58:K58)</f>
        <v>543</v>
      </c>
      <c r="N58" s="434">
        <f>+M57+M58</f>
        <v>1101</v>
      </c>
      <c r="O58" s="441">
        <f>+N58/1800</f>
        <v>0.61170000000000002</v>
      </c>
      <c r="P58" s="430">
        <v>7</v>
      </c>
      <c r="Q58" s="430">
        <v>29</v>
      </c>
      <c r="R58" s="430">
        <v>26</v>
      </c>
    </row>
    <row r="59" spans="1:18" x14ac:dyDescent="0.25">
      <c r="A59" s="445"/>
      <c r="B59" s="446"/>
      <c r="C59" s="449"/>
      <c r="D59" s="447"/>
      <c r="E59" s="447"/>
      <c r="F59" s="447"/>
      <c r="G59" s="447"/>
      <c r="H59" s="442"/>
      <c r="I59" s="434">
        <f>I57+I58</f>
        <v>390</v>
      </c>
      <c r="J59" s="434">
        <f>J57+J58</f>
        <v>348</v>
      </c>
      <c r="K59" s="434">
        <f>K57+K58</f>
        <v>363</v>
      </c>
      <c r="L59" s="434"/>
      <c r="M59" s="435"/>
      <c r="N59" s="435"/>
      <c r="O59" s="435"/>
      <c r="P59" s="442"/>
    </row>
    <row r="60" spans="1:18" ht="13.8" thickBot="1" x14ac:dyDescent="0.3">
      <c r="A60" s="445"/>
      <c r="B60" s="446"/>
      <c r="C60" s="449"/>
      <c r="D60" s="447"/>
      <c r="E60" s="447"/>
      <c r="F60" s="447"/>
      <c r="G60" s="447"/>
    </row>
    <row r="61" spans="1:18" x14ac:dyDescent="0.25">
      <c r="A61" s="445" t="s">
        <v>2726</v>
      </c>
      <c r="B61" s="446" t="s">
        <v>2367</v>
      </c>
      <c r="C61" s="450" t="s">
        <v>2368</v>
      </c>
      <c r="D61" s="448" t="s">
        <v>289</v>
      </c>
      <c r="E61" s="448" t="s">
        <v>2369</v>
      </c>
      <c r="F61" s="448" t="s">
        <v>2370</v>
      </c>
      <c r="G61" s="448" t="s">
        <v>2371</v>
      </c>
      <c r="H61" s="430" t="s">
        <v>1479</v>
      </c>
      <c r="I61" s="464">
        <f>100/2*3</f>
        <v>150</v>
      </c>
      <c r="J61" s="432">
        <f>114/2*3</f>
        <v>171</v>
      </c>
      <c r="K61" s="433">
        <f>96/2*3</f>
        <v>144</v>
      </c>
      <c r="L61" s="434"/>
      <c r="M61" s="434">
        <f>SUM(I61:K61)</f>
        <v>465</v>
      </c>
      <c r="N61" s="435"/>
      <c r="O61" s="436"/>
      <c r="P61" s="437">
        <v>1</v>
      </c>
      <c r="Q61" s="437">
        <v>20</v>
      </c>
    </row>
    <row r="62" spans="1:18" ht="13.8" thickBot="1" x14ac:dyDescent="0.3">
      <c r="A62" s="445"/>
      <c r="B62" s="446"/>
      <c r="C62" s="450"/>
      <c r="D62" s="448"/>
      <c r="E62" s="448"/>
      <c r="F62" s="448"/>
      <c r="G62" s="448"/>
      <c r="H62" s="430" t="s">
        <v>1480</v>
      </c>
      <c r="I62" s="438">
        <f>105/2*3</f>
        <v>158</v>
      </c>
      <c r="J62" s="439">
        <f>114/2*3</f>
        <v>171</v>
      </c>
      <c r="K62" s="440">
        <f>95/2*3</f>
        <v>143</v>
      </c>
      <c r="L62" s="434"/>
      <c r="M62" s="434">
        <f>SUM(I62:K62)</f>
        <v>472</v>
      </c>
      <c r="N62" s="434">
        <f>+M61+M62</f>
        <v>937</v>
      </c>
      <c r="O62" s="441">
        <f>+N62/1800</f>
        <v>0.52059999999999995</v>
      </c>
      <c r="P62" s="430">
        <v>1</v>
      </c>
      <c r="Q62" s="430">
        <v>21</v>
      </c>
    </row>
    <row r="63" spans="1:18" x14ac:dyDescent="0.25">
      <c r="A63" s="445"/>
      <c r="B63" s="446"/>
      <c r="C63" s="450"/>
      <c r="D63" s="448"/>
      <c r="E63" s="448"/>
      <c r="F63" s="448"/>
      <c r="G63" s="448"/>
      <c r="H63" s="442"/>
      <c r="I63" s="434">
        <f>I61+I62</f>
        <v>308</v>
      </c>
      <c r="J63" s="434">
        <f>J61+J62</f>
        <v>342</v>
      </c>
      <c r="K63" s="434">
        <f>K61+K62</f>
        <v>287</v>
      </c>
      <c r="L63" s="434"/>
      <c r="M63" s="435"/>
      <c r="N63" s="435"/>
      <c r="O63" s="435"/>
      <c r="P63" s="442"/>
    </row>
    <row r="64" spans="1:18" ht="13.8" thickBot="1" x14ac:dyDescent="0.3">
      <c r="A64" s="445"/>
      <c r="B64" s="446"/>
      <c r="C64" s="450"/>
      <c r="D64" s="448"/>
      <c r="E64" s="448"/>
      <c r="F64" s="448"/>
      <c r="G64" s="448"/>
    </row>
    <row r="65" spans="1:18" x14ac:dyDescent="0.25">
      <c r="A65" s="445" t="s">
        <v>2372</v>
      </c>
      <c r="B65" s="446" t="s">
        <v>3355</v>
      </c>
      <c r="C65" s="450" t="s">
        <v>2668</v>
      </c>
      <c r="D65" s="448" t="s">
        <v>3365</v>
      </c>
      <c r="E65" s="448" t="s">
        <v>3366</v>
      </c>
      <c r="F65" s="448" t="s">
        <v>3367</v>
      </c>
      <c r="G65" s="448" t="s">
        <v>3368</v>
      </c>
      <c r="H65" s="430" t="s">
        <v>1478</v>
      </c>
      <c r="I65" s="431">
        <f>59*3</f>
        <v>177</v>
      </c>
      <c r="J65" s="432">
        <f>58.5*3</f>
        <v>176</v>
      </c>
      <c r="K65" s="433">
        <f>58*3</f>
        <v>174</v>
      </c>
      <c r="L65" s="434"/>
      <c r="M65" s="434">
        <f>SUM(I65:K65)</f>
        <v>527</v>
      </c>
      <c r="N65" s="435"/>
      <c r="O65" s="436"/>
      <c r="P65" s="437">
        <v>1</v>
      </c>
      <c r="Q65" s="437"/>
    </row>
    <row r="66" spans="1:18" ht="13.8" thickBot="1" x14ac:dyDescent="0.3">
      <c r="A66" s="445"/>
      <c r="B66" s="446"/>
      <c r="C66" s="450"/>
      <c r="D66" s="448"/>
      <c r="E66" s="448"/>
      <c r="F66" s="448"/>
      <c r="G66" s="448"/>
      <c r="H66" s="430" t="s">
        <v>1473</v>
      </c>
      <c r="I66" s="438">
        <f>61*3</f>
        <v>183</v>
      </c>
      <c r="J66" s="439">
        <f>59.5*3</f>
        <v>179</v>
      </c>
      <c r="K66" s="440">
        <f>60*3</f>
        <v>180</v>
      </c>
      <c r="L66" s="434"/>
      <c r="M66" s="434">
        <f>SUM(I66:K66)</f>
        <v>542</v>
      </c>
      <c r="N66" s="434">
        <f>+M65+M66</f>
        <v>1069</v>
      </c>
      <c r="O66" s="441">
        <f>+N66/1800</f>
        <v>0.59389999999999998</v>
      </c>
      <c r="P66" s="430">
        <v>3</v>
      </c>
      <c r="Q66" s="430"/>
    </row>
    <row r="67" spans="1:18" x14ac:dyDescent="0.25">
      <c r="A67" s="445"/>
      <c r="B67" s="446"/>
      <c r="C67" s="450"/>
      <c r="D67" s="448"/>
      <c r="E67" s="448"/>
      <c r="F67" s="448"/>
      <c r="G67" s="448"/>
      <c r="H67" s="442"/>
      <c r="I67" s="434">
        <f>I65+I66</f>
        <v>360</v>
      </c>
      <c r="J67" s="434">
        <f>J65+J66</f>
        <v>355</v>
      </c>
      <c r="K67" s="434">
        <f>K65+K66</f>
        <v>354</v>
      </c>
      <c r="L67" s="434"/>
      <c r="M67" s="435"/>
      <c r="N67" s="435"/>
      <c r="O67" s="435"/>
      <c r="P67" s="442"/>
    </row>
    <row r="68" spans="1:18" ht="13.8" thickBot="1" x14ac:dyDescent="0.3">
      <c r="A68" s="445"/>
      <c r="B68" s="446"/>
      <c r="C68" s="450"/>
      <c r="D68" s="448"/>
      <c r="E68" s="448"/>
      <c r="F68" s="448"/>
      <c r="G68" s="448"/>
    </row>
    <row r="69" spans="1:18" x14ac:dyDescent="0.25">
      <c r="A69" s="445" t="s">
        <v>3596</v>
      </c>
      <c r="B69" s="446" t="s">
        <v>3082</v>
      </c>
      <c r="C69" s="450" t="s">
        <v>407</v>
      </c>
      <c r="D69" s="448" t="s">
        <v>3527</v>
      </c>
      <c r="E69" s="448" t="s">
        <v>3557</v>
      </c>
      <c r="F69" s="448" t="s">
        <v>3083</v>
      </c>
      <c r="G69" s="448" t="s">
        <v>220</v>
      </c>
      <c r="H69" s="430" t="s">
        <v>121</v>
      </c>
      <c r="I69" s="431">
        <v>178</v>
      </c>
      <c r="J69" s="432">
        <v>185</v>
      </c>
      <c r="K69" s="433">
        <v>175</v>
      </c>
      <c r="L69" s="434"/>
      <c r="M69" s="434">
        <f>SUM(I69:K69)</f>
        <v>538</v>
      </c>
      <c r="N69" s="435"/>
      <c r="O69" s="436"/>
      <c r="P69" s="437">
        <v>1</v>
      </c>
      <c r="Q69" s="437">
        <v>19</v>
      </c>
    </row>
    <row r="70" spans="1:18" ht="13.8" thickBot="1" x14ac:dyDescent="0.3">
      <c r="A70" s="445"/>
      <c r="B70" s="446"/>
      <c r="C70" s="450"/>
      <c r="D70" s="448"/>
      <c r="E70" s="448"/>
      <c r="F70" s="448"/>
      <c r="G70" s="448"/>
      <c r="H70" s="430" t="s">
        <v>3998</v>
      </c>
      <c r="I70" s="438">
        <v>180</v>
      </c>
      <c r="J70" s="439">
        <v>191</v>
      </c>
      <c r="K70" s="440">
        <v>177</v>
      </c>
      <c r="L70" s="434"/>
      <c r="M70" s="434">
        <f>SUM(I70:K70)</f>
        <v>548</v>
      </c>
      <c r="N70" s="434">
        <f>+M69+M70</f>
        <v>1086</v>
      </c>
      <c r="O70" s="441">
        <f>+N70/1800</f>
        <v>0.60329999999999995</v>
      </c>
      <c r="P70" s="430">
        <v>1</v>
      </c>
      <c r="Q70" s="430">
        <v>33</v>
      </c>
    </row>
    <row r="71" spans="1:18" x14ac:dyDescent="0.25">
      <c r="A71" s="445"/>
      <c r="B71" s="446"/>
      <c r="C71" s="450"/>
      <c r="D71" s="448"/>
      <c r="E71" s="448"/>
      <c r="F71" s="448"/>
      <c r="G71" s="448"/>
      <c r="H71" s="442"/>
      <c r="I71" s="434">
        <f>I69+I70</f>
        <v>358</v>
      </c>
      <c r="J71" s="434">
        <f>J69+J70</f>
        <v>376</v>
      </c>
      <c r="K71" s="434">
        <f>K69+K70</f>
        <v>352</v>
      </c>
      <c r="L71" s="434"/>
      <c r="M71" s="435"/>
      <c r="N71" s="435"/>
      <c r="O71" s="435"/>
      <c r="P71" s="442"/>
    </row>
    <row r="72" spans="1:18" ht="13.8" thickBot="1" x14ac:dyDescent="0.3">
      <c r="A72" s="445"/>
      <c r="B72" s="446"/>
      <c r="C72" s="450"/>
      <c r="D72" s="448"/>
      <c r="E72" s="448"/>
      <c r="F72" s="448"/>
      <c r="G72" s="448"/>
    </row>
    <row r="73" spans="1:18" x14ac:dyDescent="0.25">
      <c r="A73" s="445" t="s">
        <v>3504</v>
      </c>
      <c r="B73" s="446" t="s">
        <v>3879</v>
      </c>
      <c r="C73" s="450" t="s">
        <v>3580</v>
      </c>
      <c r="D73" s="448" t="s">
        <v>3880</v>
      </c>
      <c r="E73" s="448" t="s">
        <v>588</v>
      </c>
      <c r="F73" s="448" t="s">
        <v>3881</v>
      </c>
      <c r="G73" s="448" t="s">
        <v>3882</v>
      </c>
      <c r="H73" s="430" t="s">
        <v>3914</v>
      </c>
      <c r="I73" s="431">
        <v>178</v>
      </c>
      <c r="J73" s="432">
        <v>185</v>
      </c>
      <c r="K73" s="433">
        <v>175</v>
      </c>
      <c r="L73" s="434"/>
      <c r="M73" s="434">
        <f>SUM(I73:K73)</f>
        <v>538</v>
      </c>
      <c r="N73" s="435"/>
      <c r="O73" s="436"/>
      <c r="P73" s="437">
        <v>1</v>
      </c>
      <c r="Q73" s="437">
        <v>10</v>
      </c>
      <c r="R73" s="437">
        <v>26</v>
      </c>
    </row>
    <row r="74" spans="1:18" ht="13.8" thickBot="1" x14ac:dyDescent="0.3">
      <c r="A74" s="445"/>
      <c r="B74" s="446"/>
      <c r="C74" s="450"/>
      <c r="D74" s="448"/>
      <c r="E74" s="448"/>
      <c r="F74" s="448"/>
      <c r="G74" s="448"/>
      <c r="H74" s="430" t="s">
        <v>1477</v>
      </c>
      <c r="I74" s="438">
        <v>180</v>
      </c>
      <c r="J74" s="439">
        <v>191</v>
      </c>
      <c r="K74" s="440">
        <v>177</v>
      </c>
      <c r="L74" s="434"/>
      <c r="M74" s="434">
        <f>SUM(I74:K74)</f>
        <v>548</v>
      </c>
      <c r="N74" s="434">
        <f>+M73+M74</f>
        <v>1086</v>
      </c>
      <c r="O74" s="441">
        <f>+N74/1800</f>
        <v>0.60329999999999995</v>
      </c>
      <c r="P74" s="430">
        <v>8</v>
      </c>
      <c r="Q74" s="430">
        <v>39</v>
      </c>
      <c r="R74" s="430">
        <v>27</v>
      </c>
    </row>
    <row r="75" spans="1:18" x14ac:dyDescent="0.25">
      <c r="A75" s="445"/>
      <c r="B75" s="446"/>
      <c r="C75" s="450"/>
      <c r="D75" s="448"/>
      <c r="E75" s="448"/>
      <c r="F75" s="448"/>
      <c r="G75" s="448"/>
      <c r="H75" s="442"/>
      <c r="I75" s="434">
        <f>I73+I74</f>
        <v>358</v>
      </c>
      <c r="J75" s="434">
        <f>J73+J74</f>
        <v>376</v>
      </c>
      <c r="K75" s="434">
        <f>K73+K74</f>
        <v>352</v>
      </c>
      <c r="L75" s="434"/>
      <c r="M75" s="435"/>
      <c r="N75" s="435"/>
      <c r="O75" s="435"/>
      <c r="P75" s="442"/>
    </row>
    <row r="76" spans="1:18" ht="13.8" thickBot="1" x14ac:dyDescent="0.3">
      <c r="A76" s="445"/>
      <c r="B76" s="446"/>
      <c r="C76" s="450"/>
      <c r="D76" s="448"/>
      <c r="E76" s="448"/>
      <c r="F76" s="448"/>
      <c r="G76" s="448"/>
    </row>
    <row r="77" spans="1:18" x14ac:dyDescent="0.25">
      <c r="A77" s="445" t="s">
        <v>1789</v>
      </c>
      <c r="B77" s="446" t="s">
        <v>1793</v>
      </c>
      <c r="C77" s="446" t="s">
        <v>3287</v>
      </c>
      <c r="D77" s="445" t="s">
        <v>2419</v>
      </c>
      <c r="E77" s="445" t="s">
        <v>446</v>
      </c>
      <c r="F77" s="445" t="s">
        <v>4053</v>
      </c>
      <c r="G77" s="448" t="s">
        <v>4243</v>
      </c>
      <c r="H77" s="430" t="s">
        <v>1475</v>
      </c>
      <c r="I77" s="431">
        <v>189</v>
      </c>
      <c r="J77" s="432">
        <v>190</v>
      </c>
      <c r="K77" s="433">
        <v>182</v>
      </c>
      <c r="L77" s="434"/>
      <c r="M77" s="434">
        <f>SUM(I77:K77)</f>
        <v>561</v>
      </c>
      <c r="N77" s="435"/>
      <c r="O77" s="436"/>
      <c r="P77" s="437">
        <v>1</v>
      </c>
      <c r="Q77" s="437">
        <v>13</v>
      </c>
    </row>
    <row r="78" spans="1:18" ht="13.8" thickBot="1" x14ac:dyDescent="0.3">
      <c r="A78" s="445"/>
      <c r="B78" s="446"/>
      <c r="C78" s="446"/>
      <c r="D78" s="445"/>
      <c r="E78" s="445"/>
      <c r="F78" s="445"/>
      <c r="G78" s="448"/>
      <c r="H78" s="430" t="s">
        <v>1476</v>
      </c>
      <c r="I78" s="438">
        <v>198</v>
      </c>
      <c r="J78" s="439">
        <v>195</v>
      </c>
      <c r="K78" s="440">
        <v>183</v>
      </c>
      <c r="L78" s="434"/>
      <c r="M78" s="434">
        <f>SUM(I78:K78)</f>
        <v>576</v>
      </c>
      <c r="N78" s="434">
        <f>+M77+M78</f>
        <v>1137</v>
      </c>
      <c r="O78" s="441">
        <f>+N78/1800</f>
        <v>0.63170000000000004</v>
      </c>
      <c r="P78" s="430">
        <v>5</v>
      </c>
      <c r="Q78" s="430">
        <v>42</v>
      </c>
    </row>
    <row r="79" spans="1:18" x14ac:dyDescent="0.25">
      <c r="A79" s="445"/>
      <c r="B79" s="446"/>
      <c r="C79" s="446"/>
      <c r="D79" s="445"/>
      <c r="E79" s="445"/>
      <c r="F79" s="445"/>
      <c r="G79" s="448"/>
      <c r="H79" s="442"/>
      <c r="I79" s="434">
        <f>I77+I78</f>
        <v>387</v>
      </c>
      <c r="J79" s="434">
        <f>J77+J78</f>
        <v>385</v>
      </c>
      <c r="K79" s="434">
        <f>K77+K78</f>
        <v>365</v>
      </c>
      <c r="L79" s="434"/>
      <c r="M79" s="435"/>
      <c r="N79" s="435"/>
      <c r="O79" s="435"/>
      <c r="P79" s="442"/>
    </row>
    <row r="80" spans="1:18" ht="13.8" thickBot="1" x14ac:dyDescent="0.3">
      <c r="A80" s="445"/>
      <c r="B80" s="446"/>
      <c r="C80" s="446"/>
      <c r="D80" s="445"/>
      <c r="E80" s="445"/>
      <c r="F80" s="445"/>
      <c r="G80" s="448"/>
    </row>
    <row r="81" spans="1:18" x14ac:dyDescent="0.25">
      <c r="A81" s="445" t="s">
        <v>1331</v>
      </c>
      <c r="B81" s="446" t="s">
        <v>2676</v>
      </c>
      <c r="C81" s="446" t="s">
        <v>579</v>
      </c>
      <c r="D81" s="445" t="s">
        <v>484</v>
      </c>
      <c r="E81" s="445" t="s">
        <v>2678</v>
      </c>
      <c r="F81" s="445" t="s">
        <v>485</v>
      </c>
      <c r="G81" s="445" t="s">
        <v>486</v>
      </c>
      <c r="H81" s="430" t="s">
        <v>1474</v>
      </c>
      <c r="I81" s="431">
        <v>181</v>
      </c>
      <c r="J81" s="432">
        <v>187</v>
      </c>
      <c r="K81" s="433">
        <v>179</v>
      </c>
      <c r="L81" s="434"/>
      <c r="M81" s="434">
        <f>SUM(I81:K81)</f>
        <v>547</v>
      </c>
      <c r="N81" s="435"/>
      <c r="O81" s="436"/>
      <c r="P81" s="437">
        <v>1</v>
      </c>
      <c r="Q81" s="437">
        <v>19</v>
      </c>
      <c r="R81" s="437">
        <v>25</v>
      </c>
    </row>
    <row r="82" spans="1:18" ht="13.8" thickBot="1" x14ac:dyDescent="0.3">
      <c r="A82" s="445"/>
      <c r="B82" s="446"/>
      <c r="C82" s="446"/>
      <c r="D82" s="445"/>
      <c r="E82" s="445"/>
      <c r="F82" s="445"/>
      <c r="G82" s="445"/>
      <c r="H82" s="430" t="s">
        <v>1982</v>
      </c>
      <c r="I82" s="438">
        <v>182</v>
      </c>
      <c r="J82" s="439">
        <v>191</v>
      </c>
      <c r="K82" s="440">
        <v>181</v>
      </c>
      <c r="L82" s="434"/>
      <c r="M82" s="434">
        <f>SUM(I82:K82)</f>
        <v>554</v>
      </c>
      <c r="N82" s="434">
        <f>+M81+M82</f>
        <v>1101</v>
      </c>
      <c r="O82" s="441">
        <f>+N82/1800</f>
        <v>0.61170000000000002</v>
      </c>
      <c r="P82" s="430">
        <v>7</v>
      </c>
      <c r="Q82" s="430">
        <v>41</v>
      </c>
      <c r="R82" s="430">
        <v>27</v>
      </c>
    </row>
    <row r="83" spans="1:18" x14ac:dyDescent="0.25">
      <c r="A83" s="445"/>
      <c r="B83" s="446"/>
      <c r="C83" s="446"/>
      <c r="D83" s="445"/>
      <c r="E83" s="445"/>
      <c r="F83" s="445"/>
      <c r="G83" s="445"/>
      <c r="H83" s="442"/>
      <c r="I83" s="434">
        <f>I81+I82</f>
        <v>363</v>
      </c>
      <c r="J83" s="434">
        <f>J81+J82</f>
        <v>378</v>
      </c>
      <c r="K83" s="434">
        <f>K81+K82</f>
        <v>360</v>
      </c>
      <c r="L83" s="434"/>
      <c r="M83" s="435"/>
      <c r="N83" s="435"/>
      <c r="O83" s="435"/>
      <c r="P83" s="442"/>
    </row>
    <row r="84" spans="1:18" ht="13.8" thickBot="1" x14ac:dyDescent="0.3">
      <c r="A84" s="445"/>
      <c r="B84" s="446"/>
      <c r="C84" s="446"/>
      <c r="D84" s="445"/>
      <c r="E84" s="445"/>
      <c r="F84" s="445"/>
      <c r="G84" s="445"/>
    </row>
    <row r="85" spans="1:18" x14ac:dyDescent="0.25">
      <c r="A85" s="445" t="s">
        <v>3994</v>
      </c>
      <c r="B85" s="446" t="s">
        <v>3998</v>
      </c>
      <c r="C85" s="446" t="s">
        <v>652</v>
      </c>
      <c r="D85" s="445" t="s">
        <v>2793</v>
      </c>
      <c r="E85" s="445" t="s">
        <v>4080</v>
      </c>
      <c r="F85" s="445" t="s">
        <v>2466</v>
      </c>
      <c r="G85" s="445" t="s">
        <v>4045</v>
      </c>
      <c r="H85" s="430" t="s">
        <v>118</v>
      </c>
      <c r="I85" s="431">
        <f>65.5*3</f>
        <v>197</v>
      </c>
      <c r="J85" s="432">
        <f>65.5*3</f>
        <v>197</v>
      </c>
      <c r="K85" s="433">
        <f>66.5*3</f>
        <v>200</v>
      </c>
      <c r="L85" s="434"/>
      <c r="M85" s="434">
        <f>SUM(I85:K85)</f>
        <v>594</v>
      </c>
      <c r="N85" s="435"/>
      <c r="O85" s="436"/>
      <c r="P85" s="437">
        <v>1</v>
      </c>
      <c r="Q85" s="437">
        <v>12</v>
      </c>
      <c r="R85" s="437">
        <v>26</v>
      </c>
    </row>
    <row r="86" spans="1:18" ht="13.8" thickBot="1" x14ac:dyDescent="0.3">
      <c r="A86" s="445"/>
      <c r="B86" s="446"/>
      <c r="C86" s="446"/>
      <c r="D86" s="445"/>
      <c r="E86" s="445"/>
      <c r="F86" s="445"/>
      <c r="G86" s="445"/>
      <c r="H86" s="430" t="s">
        <v>3998</v>
      </c>
      <c r="I86" s="438">
        <f>65.5*3</f>
        <v>197</v>
      </c>
      <c r="J86" s="439">
        <f>61.5*3</f>
        <v>185</v>
      </c>
      <c r="K86" s="440">
        <f>67*3</f>
        <v>201</v>
      </c>
      <c r="L86" s="434"/>
      <c r="M86" s="434">
        <f>SUM(I86:K86)</f>
        <v>583</v>
      </c>
      <c r="N86" s="434">
        <f>+M85+M86</f>
        <v>1177</v>
      </c>
      <c r="O86" s="441">
        <f>+N86/1800</f>
        <v>0.65390000000000004</v>
      </c>
      <c r="P86" s="430">
        <v>13</v>
      </c>
      <c r="Q86" s="430">
        <v>44</v>
      </c>
      <c r="R86" s="430">
        <v>27</v>
      </c>
    </row>
    <row r="87" spans="1:18" x14ac:dyDescent="0.25">
      <c r="A87" s="445"/>
      <c r="B87" s="446"/>
      <c r="C87" s="446"/>
      <c r="D87" s="445"/>
      <c r="E87" s="445"/>
      <c r="F87" s="445"/>
      <c r="G87" s="445"/>
      <c r="H87" s="442"/>
      <c r="I87" s="434">
        <f>I85+I86</f>
        <v>394</v>
      </c>
      <c r="J87" s="434">
        <f>J85+J86</f>
        <v>382</v>
      </c>
      <c r="K87" s="434">
        <f>K85+K86</f>
        <v>401</v>
      </c>
      <c r="L87" s="434"/>
      <c r="M87" s="435"/>
      <c r="N87" s="435"/>
      <c r="O87" s="435"/>
      <c r="P87" s="442"/>
    </row>
    <row r="88" spans="1:18" ht="13.8" thickBot="1" x14ac:dyDescent="0.3">
      <c r="A88" s="445"/>
      <c r="B88" s="446"/>
      <c r="C88" s="446"/>
      <c r="D88" s="445"/>
      <c r="E88" s="445"/>
      <c r="F88" s="445"/>
      <c r="G88" s="445"/>
    </row>
    <row r="89" spans="1:18" x14ac:dyDescent="0.25">
      <c r="A89" s="445" t="s">
        <v>2340</v>
      </c>
      <c r="B89" s="446" t="s">
        <v>2697</v>
      </c>
      <c r="C89" s="451" t="s">
        <v>4079</v>
      </c>
      <c r="D89" s="448" t="s">
        <v>735</v>
      </c>
      <c r="E89" s="448" t="s">
        <v>4081</v>
      </c>
      <c r="F89" s="448" t="s">
        <v>3088</v>
      </c>
      <c r="G89" s="448" t="s">
        <v>3514</v>
      </c>
      <c r="H89" s="430" t="s">
        <v>1298</v>
      </c>
      <c r="I89" s="431">
        <f>69+70+68</f>
        <v>207</v>
      </c>
      <c r="J89" s="432">
        <f>70+63+71</f>
        <v>204</v>
      </c>
      <c r="K89" s="433">
        <f>65+65+68</f>
        <v>198</v>
      </c>
      <c r="L89" s="434"/>
      <c r="M89" s="434">
        <f>SUM(I89:K89)</f>
        <v>609</v>
      </c>
      <c r="N89" s="435"/>
      <c r="O89" s="436"/>
      <c r="P89" s="437">
        <v>1</v>
      </c>
      <c r="Q89" s="437">
        <v>7</v>
      </c>
      <c r="R89" s="437">
        <v>17</v>
      </c>
    </row>
    <row r="90" spans="1:18" ht="13.8" thickBot="1" x14ac:dyDescent="0.3">
      <c r="A90" s="443"/>
      <c r="B90" s="443"/>
      <c r="C90" s="443"/>
      <c r="D90" s="443"/>
      <c r="E90" s="443"/>
      <c r="F90" s="443"/>
      <c r="G90" s="443"/>
      <c r="H90" s="430" t="s">
        <v>1473</v>
      </c>
      <c r="I90" s="438">
        <f>68+64+67</f>
        <v>199</v>
      </c>
      <c r="J90" s="439">
        <f>70+63+69</f>
        <v>202</v>
      </c>
      <c r="K90" s="440">
        <f>64+65+68</f>
        <v>197</v>
      </c>
      <c r="L90" s="434"/>
      <c r="M90" s="434">
        <f>SUM(I90:K90)</f>
        <v>598</v>
      </c>
      <c r="N90" s="434">
        <f>+M89+M90</f>
        <v>1207</v>
      </c>
      <c r="O90" s="441">
        <f>+N90/1800</f>
        <v>0.67059999999999997</v>
      </c>
      <c r="P90" s="430">
        <v>5</v>
      </c>
      <c r="Q90" s="430">
        <v>38</v>
      </c>
      <c r="R90" s="430">
        <v>29</v>
      </c>
    </row>
    <row r="91" spans="1:18" x14ac:dyDescent="0.25">
      <c r="A91" s="443"/>
      <c r="B91" s="443"/>
      <c r="C91" s="443"/>
      <c r="D91" s="443"/>
      <c r="E91" s="443"/>
      <c r="F91" s="443"/>
      <c r="G91" s="443"/>
      <c r="H91" s="442"/>
      <c r="I91" s="434">
        <f>I89+I90</f>
        <v>406</v>
      </c>
      <c r="J91" s="434">
        <f>J89+J90</f>
        <v>406</v>
      </c>
      <c r="K91" s="434">
        <f>K89+K90</f>
        <v>395</v>
      </c>
      <c r="L91" s="434"/>
      <c r="M91" s="435"/>
      <c r="N91" s="435"/>
      <c r="O91" s="435"/>
      <c r="P91" s="442"/>
    </row>
    <row r="92" spans="1:18" ht="13.8" thickBot="1" x14ac:dyDescent="0.3">
      <c r="A92" s="443"/>
      <c r="B92" s="443"/>
      <c r="C92" s="443"/>
      <c r="D92" s="443"/>
      <c r="E92" s="443"/>
      <c r="F92" s="443"/>
      <c r="G92" s="443"/>
    </row>
    <row r="93" spans="1:18" x14ac:dyDescent="0.25">
      <c r="A93" s="445" t="s">
        <v>2284</v>
      </c>
      <c r="B93" s="446" t="s">
        <v>821</v>
      </c>
      <c r="C93" s="451" t="s">
        <v>2285</v>
      </c>
      <c r="D93" s="448" t="s">
        <v>822</v>
      </c>
      <c r="E93" s="448" t="s">
        <v>4083</v>
      </c>
      <c r="F93" s="448" t="s">
        <v>824</v>
      </c>
      <c r="G93" s="448" t="s">
        <v>825</v>
      </c>
      <c r="H93" s="430" t="s">
        <v>2227</v>
      </c>
      <c r="I93" s="431">
        <f>148/2*3</f>
        <v>222</v>
      </c>
      <c r="J93" s="432">
        <f>142/2*3</f>
        <v>213</v>
      </c>
      <c r="K93" s="433">
        <f>143/2*3</f>
        <v>215</v>
      </c>
      <c r="L93" s="434"/>
      <c r="M93" s="434">
        <f>SUM(I93:K93)</f>
        <v>650</v>
      </c>
      <c r="N93" s="435"/>
      <c r="O93" s="436"/>
      <c r="P93" s="437">
        <v>1</v>
      </c>
      <c r="Q93" s="437">
        <v>4</v>
      </c>
      <c r="R93" s="437">
        <v>23</v>
      </c>
    </row>
    <row r="94" spans="1:18" ht="13.8" thickBot="1" x14ac:dyDescent="0.3">
      <c r="A94" s="443"/>
      <c r="B94" s="443"/>
      <c r="C94" s="443"/>
      <c r="D94" s="443"/>
      <c r="E94" s="443"/>
      <c r="F94" s="443"/>
      <c r="G94" s="443"/>
      <c r="H94" s="430" t="s">
        <v>2286</v>
      </c>
      <c r="I94" s="438">
        <f>147/2*3</f>
        <v>221</v>
      </c>
      <c r="J94" s="439">
        <f>141/2*3</f>
        <v>212</v>
      </c>
      <c r="K94" s="440">
        <f>144/2*3</f>
        <v>216</v>
      </c>
      <c r="L94" s="434"/>
      <c r="M94" s="434">
        <f>SUM(I94:K94)</f>
        <v>649</v>
      </c>
      <c r="N94" s="434">
        <f>+M93+M94</f>
        <v>1299</v>
      </c>
      <c r="O94" s="441">
        <f>+N94/1800</f>
        <v>0.72170000000000001</v>
      </c>
      <c r="P94" s="430">
        <v>12</v>
      </c>
      <c r="Q94" s="430">
        <v>48</v>
      </c>
      <c r="R94" s="430">
        <v>26</v>
      </c>
    </row>
    <row r="95" spans="1:18" x14ac:dyDescent="0.25">
      <c r="A95" s="443"/>
      <c r="B95" s="443"/>
      <c r="C95" s="443"/>
      <c r="D95" s="443"/>
      <c r="E95" s="443"/>
      <c r="F95" s="443"/>
      <c r="G95" s="443"/>
      <c r="H95" s="442"/>
      <c r="I95" s="434">
        <f>I93+I94</f>
        <v>443</v>
      </c>
      <c r="J95" s="434">
        <f>J93+J94</f>
        <v>425</v>
      </c>
      <c r="K95" s="434">
        <f>K93+K94</f>
        <v>431</v>
      </c>
      <c r="L95" s="434"/>
      <c r="M95" s="435"/>
      <c r="N95" s="435"/>
      <c r="O95" s="435"/>
      <c r="P95" s="442"/>
    </row>
    <row r="96" spans="1:18" ht="13.8" thickBot="1" x14ac:dyDescent="0.3"/>
    <row r="97" spans="1:18" x14ac:dyDescent="0.25">
      <c r="A97" s="445" t="s">
        <v>907</v>
      </c>
      <c r="B97" s="280" t="s">
        <v>3999</v>
      </c>
      <c r="C97" s="280" t="s">
        <v>2733</v>
      </c>
      <c r="D97" s="2" t="s">
        <v>3527</v>
      </c>
      <c r="E97" s="2" t="s">
        <v>650</v>
      </c>
      <c r="F97" s="2" t="s">
        <v>1261</v>
      </c>
      <c r="G97" s="2" t="s">
        <v>3607</v>
      </c>
      <c r="H97" s="430" t="s">
        <v>4589</v>
      </c>
      <c r="I97" s="431">
        <f>137/2*3</f>
        <v>206</v>
      </c>
      <c r="J97" s="432">
        <f>139/2*3</f>
        <v>209</v>
      </c>
      <c r="K97" s="433">
        <f>133/2*3</f>
        <v>200</v>
      </c>
      <c r="L97" s="434"/>
      <c r="M97" s="434">
        <f>SUM(I97:K97)</f>
        <v>615</v>
      </c>
      <c r="N97" s="435"/>
      <c r="O97" s="436"/>
      <c r="P97" s="437">
        <v>1</v>
      </c>
      <c r="Q97" s="437">
        <v>9</v>
      </c>
      <c r="R97" s="437"/>
    </row>
    <row r="98" spans="1:18" ht="13.8" thickBot="1" x14ac:dyDescent="0.3">
      <c r="A98" s="443"/>
      <c r="B98" s="443"/>
      <c r="C98" s="443"/>
      <c r="D98" s="443"/>
      <c r="E98" s="443"/>
      <c r="F98" s="443"/>
      <c r="G98" s="443"/>
      <c r="H98" s="430" t="s">
        <v>1486</v>
      </c>
      <c r="I98" s="438">
        <f>135/2*3</f>
        <v>203</v>
      </c>
      <c r="J98" s="439">
        <f>136/2*3</f>
        <v>204</v>
      </c>
      <c r="K98" s="440">
        <f>132/2*3</f>
        <v>198</v>
      </c>
      <c r="L98" s="434"/>
      <c r="M98" s="434">
        <f>SUM(I98:K98)</f>
        <v>605</v>
      </c>
      <c r="N98" s="434">
        <f>+M97+M98</f>
        <v>1220</v>
      </c>
      <c r="O98" s="441">
        <f>+N98/1800</f>
        <v>0.67779999999999996</v>
      </c>
      <c r="P98" s="430">
        <v>8</v>
      </c>
      <c r="Q98" s="430">
        <v>48</v>
      </c>
      <c r="R98" s="430"/>
    </row>
    <row r="99" spans="1:18" x14ac:dyDescent="0.25">
      <c r="A99" s="443"/>
      <c r="B99" s="443"/>
      <c r="C99" s="443"/>
      <c r="D99" s="443"/>
      <c r="E99" s="443"/>
      <c r="F99" s="443"/>
      <c r="G99" s="443"/>
      <c r="H99" s="442"/>
      <c r="I99" s="434">
        <f>I97+I98</f>
        <v>409</v>
      </c>
      <c r="J99" s="434">
        <f>J97+J98</f>
        <v>413</v>
      </c>
      <c r="K99" s="434">
        <f>K97+K98</f>
        <v>398</v>
      </c>
      <c r="L99" s="434"/>
      <c r="M99" s="435"/>
      <c r="N99" s="435"/>
      <c r="O99" s="435"/>
      <c r="P99" s="442"/>
    </row>
    <row r="100" spans="1:18" ht="13.8" thickBot="1" x14ac:dyDescent="0.3"/>
    <row r="101" spans="1:18" x14ac:dyDescent="0.25">
      <c r="A101" s="445" t="s">
        <v>1081</v>
      </c>
      <c r="B101" s="280" t="s">
        <v>908</v>
      </c>
      <c r="C101" s="425" t="s">
        <v>487</v>
      </c>
      <c r="D101" s="2" t="s">
        <v>3081</v>
      </c>
      <c r="E101" s="2" t="s">
        <v>3368</v>
      </c>
      <c r="F101" s="2" t="s">
        <v>3367</v>
      </c>
      <c r="G101" s="2" t="s">
        <v>265</v>
      </c>
      <c r="H101" s="430" t="s">
        <v>4590</v>
      </c>
      <c r="I101" s="431">
        <v>204</v>
      </c>
      <c r="J101" s="432">
        <v>208</v>
      </c>
      <c r="K101" s="433">
        <v>208</v>
      </c>
      <c r="L101" s="434"/>
      <c r="M101" s="434">
        <f>SUM(I101:K101)</f>
        <v>620</v>
      </c>
      <c r="N101" s="435"/>
      <c r="O101" s="436"/>
      <c r="P101" s="437">
        <v>1</v>
      </c>
      <c r="Q101" s="437">
        <v>7</v>
      </c>
      <c r="R101" s="437"/>
    </row>
    <row r="102" spans="1:18" ht="13.8" thickBot="1" x14ac:dyDescent="0.3">
      <c r="A102" s="443"/>
      <c r="B102" s="443"/>
      <c r="C102" s="443"/>
      <c r="D102" s="443"/>
      <c r="E102" s="443"/>
      <c r="F102" s="443"/>
      <c r="G102" s="443"/>
      <c r="H102" s="430" t="s">
        <v>4591</v>
      </c>
      <c r="I102" s="438">
        <v>207</v>
      </c>
      <c r="J102" s="439">
        <v>210</v>
      </c>
      <c r="K102" s="440">
        <v>206</v>
      </c>
      <c r="L102" s="434"/>
      <c r="M102" s="434">
        <f>SUM(I102:K102)</f>
        <v>623</v>
      </c>
      <c r="N102" s="434">
        <f>+M101+M102</f>
        <v>1243</v>
      </c>
      <c r="O102" s="441">
        <f>+N102/1800</f>
        <v>0.69059999999999999</v>
      </c>
      <c r="P102" s="430">
        <v>4</v>
      </c>
      <c r="Q102" s="430">
        <v>29</v>
      </c>
      <c r="R102" s="430"/>
    </row>
    <row r="103" spans="1:18" x14ac:dyDescent="0.25">
      <c r="A103" s="443"/>
      <c r="B103" s="443"/>
      <c r="C103" s="443"/>
      <c r="D103" s="443"/>
      <c r="E103" s="443"/>
      <c r="F103" s="443"/>
      <c r="G103" s="443"/>
      <c r="H103" s="442"/>
      <c r="I103" s="434">
        <f>I101+I102</f>
        <v>411</v>
      </c>
      <c r="J103" s="434">
        <f>J101+J102</f>
        <v>418</v>
      </c>
      <c r="K103" s="434">
        <f>K101+K102</f>
        <v>414</v>
      </c>
      <c r="L103" s="434"/>
      <c r="M103" s="435"/>
      <c r="N103" s="435"/>
      <c r="O103" s="435"/>
      <c r="P103" s="442"/>
    </row>
    <row r="104" spans="1:18" ht="13.8" thickBot="1" x14ac:dyDescent="0.3"/>
    <row r="105" spans="1:18" x14ac:dyDescent="0.25">
      <c r="A105" s="445" t="s">
        <v>4326</v>
      </c>
      <c r="B105" s="280" t="s">
        <v>1089</v>
      </c>
      <c r="C105" s="425" t="s">
        <v>4079</v>
      </c>
      <c r="D105" s="27" t="s">
        <v>1228</v>
      </c>
      <c r="E105" s="27" t="s">
        <v>4081</v>
      </c>
      <c r="F105" s="27" t="s">
        <v>3088</v>
      </c>
      <c r="G105" s="27" t="s">
        <v>3555</v>
      </c>
      <c r="H105" s="430" t="s">
        <v>4592</v>
      </c>
      <c r="I105" s="431">
        <v>201</v>
      </c>
      <c r="J105" s="432">
        <v>203</v>
      </c>
      <c r="K105" s="433">
        <v>203</v>
      </c>
      <c r="L105" s="434"/>
      <c r="M105" s="434">
        <f>SUM(I105:K105)</f>
        <v>607</v>
      </c>
      <c r="N105" s="435"/>
      <c r="O105" s="436"/>
      <c r="P105" s="437">
        <v>1</v>
      </c>
      <c r="Q105" s="437">
        <v>15</v>
      </c>
      <c r="R105" s="437"/>
    </row>
    <row r="106" spans="1:18" ht="13.8" thickBot="1" x14ac:dyDescent="0.3">
      <c r="A106" s="443"/>
      <c r="B106" s="443"/>
      <c r="C106" s="443"/>
      <c r="D106" s="443"/>
      <c r="E106" s="443"/>
      <c r="F106" s="443"/>
      <c r="G106" s="443"/>
      <c r="H106" s="430" t="s">
        <v>4593</v>
      </c>
      <c r="I106" s="438">
        <v>199</v>
      </c>
      <c r="J106" s="439">
        <v>202</v>
      </c>
      <c r="K106" s="440">
        <v>199</v>
      </c>
      <c r="L106" s="434"/>
      <c r="M106" s="434">
        <f>SUM(I106:K106)</f>
        <v>600</v>
      </c>
      <c r="N106" s="434">
        <f>+M105+M106</f>
        <v>1207</v>
      </c>
      <c r="O106" s="441">
        <f>+N106/1800</f>
        <v>0.67059999999999997</v>
      </c>
      <c r="P106" s="430">
        <v>7</v>
      </c>
      <c r="Q106" s="430">
        <v>38</v>
      </c>
      <c r="R106" s="430"/>
    </row>
    <row r="107" spans="1:18" x14ac:dyDescent="0.25">
      <c r="A107" s="443"/>
      <c r="B107" s="443"/>
      <c r="C107" s="443"/>
      <c r="D107" s="443"/>
      <c r="E107" s="443"/>
      <c r="F107" s="443"/>
      <c r="G107" s="443"/>
      <c r="H107" s="442"/>
      <c r="I107" s="434">
        <f>I105+I106</f>
        <v>400</v>
      </c>
      <c r="J107" s="434">
        <f>J105+J106</f>
        <v>405</v>
      </c>
      <c r="K107" s="434">
        <f>K105+K106</f>
        <v>402</v>
      </c>
      <c r="L107" s="434"/>
      <c r="M107" s="435"/>
      <c r="N107" s="435"/>
      <c r="O107" s="435"/>
      <c r="P107" s="442"/>
    </row>
    <row r="108" spans="1:18" ht="13.8" thickBot="1" x14ac:dyDescent="0.3"/>
    <row r="109" spans="1:18" x14ac:dyDescent="0.25">
      <c r="A109" s="445" t="s">
        <v>4514</v>
      </c>
      <c r="B109" s="280" t="s">
        <v>4518</v>
      </c>
      <c r="C109" s="425" t="s">
        <v>4079</v>
      </c>
      <c r="D109" s="27" t="s">
        <v>2835</v>
      </c>
      <c r="E109" s="27" t="s">
        <v>3081</v>
      </c>
      <c r="F109" s="27" t="s">
        <v>417</v>
      </c>
      <c r="G109" s="27" t="s">
        <v>418</v>
      </c>
      <c r="H109" s="430" t="s">
        <v>1012</v>
      </c>
      <c r="I109" s="431">
        <v>197</v>
      </c>
      <c r="J109" s="432">
        <v>197</v>
      </c>
      <c r="K109" s="433">
        <v>195</v>
      </c>
      <c r="L109" s="434"/>
      <c r="M109" s="434">
        <f>SUM(I109:K109)</f>
        <v>589</v>
      </c>
      <c r="N109" s="435"/>
      <c r="O109" s="436"/>
      <c r="P109" s="437">
        <v>1</v>
      </c>
      <c r="Q109" s="437">
        <v>18</v>
      </c>
      <c r="R109" s="437">
        <v>20</v>
      </c>
    </row>
    <row r="110" spans="1:18" ht="13.8" thickBot="1" x14ac:dyDescent="0.3">
      <c r="A110" s="443"/>
      <c r="B110" s="443"/>
      <c r="C110" s="443"/>
      <c r="D110" s="443"/>
      <c r="E110" s="443"/>
      <c r="F110" s="443"/>
      <c r="G110" s="443"/>
      <c r="H110" s="430" t="s">
        <v>4594</v>
      </c>
      <c r="I110" s="438">
        <v>193</v>
      </c>
      <c r="J110" s="439">
        <v>198</v>
      </c>
      <c r="K110" s="440">
        <v>192</v>
      </c>
      <c r="L110" s="434"/>
      <c r="M110" s="434">
        <f>SUM(I110:K110)</f>
        <v>583</v>
      </c>
      <c r="N110" s="434">
        <f>+M109+M110</f>
        <v>1172</v>
      </c>
      <c r="O110" s="441">
        <f>+N110/1800</f>
        <v>0.65110000000000001</v>
      </c>
      <c r="P110" s="430">
        <v>4</v>
      </c>
      <c r="Q110" s="430">
        <v>31</v>
      </c>
      <c r="R110" s="430">
        <v>24</v>
      </c>
    </row>
    <row r="111" spans="1:18" x14ac:dyDescent="0.25">
      <c r="A111" s="443"/>
      <c r="B111" s="443"/>
      <c r="C111" s="443"/>
      <c r="D111" s="443"/>
      <c r="E111" s="443"/>
      <c r="F111" s="443"/>
      <c r="G111" s="443"/>
      <c r="H111" s="442"/>
      <c r="I111" s="434">
        <f>I109+I110</f>
        <v>390</v>
      </c>
      <c r="J111" s="434">
        <f>J109+J110</f>
        <v>395</v>
      </c>
      <c r="K111" s="434">
        <f>K109+K110</f>
        <v>387</v>
      </c>
      <c r="L111" s="434"/>
      <c r="M111" s="435"/>
      <c r="N111" s="435"/>
      <c r="O111" s="435"/>
      <c r="P111" s="442"/>
    </row>
    <row r="112" spans="1:18" ht="13.8" thickBot="1" x14ac:dyDescent="0.3"/>
    <row r="113" spans="1:18" x14ac:dyDescent="0.25">
      <c r="A113" s="445" t="s">
        <v>4638</v>
      </c>
      <c r="B113" s="280" t="s">
        <v>4649</v>
      </c>
      <c r="C113" s="425" t="s">
        <v>4079</v>
      </c>
      <c r="D113" s="27" t="s">
        <v>3522</v>
      </c>
      <c r="E113" s="27" t="s">
        <v>2812</v>
      </c>
      <c r="F113" s="27" t="s">
        <v>1313</v>
      </c>
      <c r="G113" s="27" t="s">
        <v>2731</v>
      </c>
      <c r="H113" s="430"/>
      <c r="I113" s="431">
        <f>303/2*3/2</f>
        <v>227</v>
      </c>
      <c r="J113" s="432">
        <f>293/2*3/2</f>
        <v>220</v>
      </c>
      <c r="K113" s="433">
        <f>291/2*3/2</f>
        <v>218</v>
      </c>
      <c r="L113" s="434"/>
      <c r="M113" s="434">
        <f>SUM(I113:K113)</f>
        <v>665</v>
      </c>
      <c r="N113" s="435"/>
      <c r="O113" s="436"/>
      <c r="P113" s="437">
        <v>1</v>
      </c>
      <c r="Q113" s="437">
        <v>7</v>
      </c>
      <c r="R113" s="437">
        <v>2</v>
      </c>
    </row>
    <row r="114" spans="1:18" ht="13.8" thickBot="1" x14ac:dyDescent="0.3">
      <c r="A114" s="443"/>
      <c r="B114" s="443"/>
      <c r="C114" s="443"/>
      <c r="D114" s="443"/>
      <c r="E114" s="443"/>
      <c r="F114" s="443"/>
      <c r="G114" s="443"/>
      <c r="H114" s="430"/>
      <c r="I114" s="438">
        <f>303/2*3/2</f>
        <v>227</v>
      </c>
      <c r="J114" s="439">
        <f>293/2*3/2</f>
        <v>220</v>
      </c>
      <c r="K114" s="440">
        <f>291/2*3/2</f>
        <v>218</v>
      </c>
      <c r="L114" s="434"/>
      <c r="M114" s="434">
        <f>SUM(I114:K114)</f>
        <v>665</v>
      </c>
      <c r="N114" s="434">
        <f>+M113+M114</f>
        <v>1330</v>
      </c>
      <c r="O114" s="441">
        <f>+N114/1800</f>
        <v>0.7389</v>
      </c>
      <c r="P114" s="430">
        <v>4</v>
      </c>
      <c r="Q114" s="430">
        <v>37</v>
      </c>
      <c r="R114" s="430">
        <v>25</v>
      </c>
    </row>
    <row r="115" spans="1:18" x14ac:dyDescent="0.25">
      <c r="A115" s="443"/>
      <c r="B115" s="443"/>
      <c r="C115" s="443"/>
      <c r="D115" s="443"/>
      <c r="E115" s="443"/>
      <c r="F115" s="443"/>
      <c r="G115" s="443"/>
      <c r="H115" s="442"/>
      <c r="I115" s="434">
        <f>I113+I114</f>
        <v>454</v>
      </c>
      <c r="J115" s="434">
        <f>J113+J114</f>
        <v>440</v>
      </c>
      <c r="K115" s="434">
        <f>K113+K114</f>
        <v>436</v>
      </c>
      <c r="L115" s="434"/>
      <c r="M115" s="435"/>
      <c r="N115" s="435"/>
      <c r="O115" s="435"/>
      <c r="P115" s="442"/>
    </row>
    <row r="116" spans="1:18" ht="13.8" thickBot="1" x14ac:dyDescent="0.3"/>
    <row r="117" spans="1:18" x14ac:dyDescent="0.25">
      <c r="A117" s="445" t="s">
        <v>4767</v>
      </c>
      <c r="B117" s="280" t="s">
        <v>3101</v>
      </c>
      <c r="C117" s="425" t="s">
        <v>4866</v>
      </c>
      <c r="D117" s="27" t="s">
        <v>822</v>
      </c>
      <c r="E117" s="27" t="s">
        <v>912</v>
      </c>
      <c r="F117" s="27" t="s">
        <v>427</v>
      </c>
      <c r="G117" s="27" t="s">
        <v>825</v>
      </c>
      <c r="H117" s="430" t="s">
        <v>2227</v>
      </c>
      <c r="I117" s="431">
        <v>203</v>
      </c>
      <c r="J117" s="432">
        <v>203</v>
      </c>
      <c r="K117" s="433">
        <v>207</v>
      </c>
      <c r="L117" s="434"/>
      <c r="M117" s="434">
        <f>SUM(I117:K117)</f>
        <v>613</v>
      </c>
      <c r="N117" s="435"/>
      <c r="O117" s="436"/>
      <c r="P117" s="437">
        <v>1</v>
      </c>
      <c r="Q117" s="437">
        <v>12</v>
      </c>
      <c r="R117" s="437"/>
    </row>
    <row r="118" spans="1:18" ht="13.8" thickBot="1" x14ac:dyDescent="0.3">
      <c r="A118" s="443"/>
      <c r="B118" s="443"/>
      <c r="C118" s="443"/>
      <c r="D118" s="443"/>
      <c r="E118" s="443"/>
      <c r="F118" s="443"/>
      <c r="G118" s="443"/>
      <c r="H118" s="430" t="s">
        <v>4867</v>
      </c>
      <c r="I118" s="438">
        <v>201</v>
      </c>
      <c r="J118" s="439">
        <v>203</v>
      </c>
      <c r="K118" s="440">
        <v>206</v>
      </c>
      <c r="L118" s="434"/>
      <c r="M118" s="434">
        <f>SUM(I118:K118)</f>
        <v>610</v>
      </c>
      <c r="N118" s="434">
        <f>+M117+M118</f>
        <v>1223</v>
      </c>
      <c r="O118" s="441">
        <f>+N118/1800</f>
        <v>0.6794</v>
      </c>
      <c r="P118" s="430">
        <v>7</v>
      </c>
      <c r="Q118" s="430">
        <v>34</v>
      </c>
      <c r="R118" s="430"/>
    </row>
    <row r="119" spans="1:18" x14ac:dyDescent="0.25">
      <c r="A119" s="443"/>
      <c r="B119" s="443"/>
      <c r="C119" s="443"/>
      <c r="D119" s="443"/>
      <c r="E119" s="443"/>
      <c r="F119" s="443"/>
      <c r="G119" s="443"/>
      <c r="H119" s="442"/>
      <c r="I119" s="434">
        <f>I117+I118</f>
        <v>404</v>
      </c>
      <c r="J119" s="434">
        <f>J117+J118</f>
        <v>406</v>
      </c>
      <c r="K119" s="434">
        <f>K117+K118</f>
        <v>413</v>
      </c>
      <c r="L119" s="434"/>
      <c r="M119" s="435"/>
      <c r="N119" s="435"/>
      <c r="O119" s="435"/>
      <c r="P119" s="442"/>
    </row>
  </sheetData>
  <phoneticPr fontId="41" type="noConversion"/>
  <pageMargins left="0.15748031496062992" right="0.15748031496062992" top="0.19685039370078741" bottom="0.19685039370078741" header="0.51181102362204722" footer="0.51181102362204722"/>
  <pageSetup paperSize="9" scale="8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23"/>
  <sheetViews>
    <sheetView zoomScale="130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1" sqref="E21"/>
    </sheetView>
  </sheetViews>
  <sheetFormatPr defaultColWidth="9" defaultRowHeight="12.9" customHeight="1" x14ac:dyDescent="0.2"/>
  <cols>
    <col min="1" max="1" width="4.109375" style="1" customWidth="1"/>
    <col min="2" max="2" width="2.33203125" style="1" customWidth="1"/>
    <col min="3" max="3" width="12.109375" style="508" customWidth="1"/>
    <col min="4" max="4" width="13.33203125" style="508" customWidth="1"/>
    <col min="5" max="5" width="10.109375" style="1" customWidth="1"/>
    <col min="6" max="6" width="9.88671875" style="1" customWidth="1"/>
    <col min="7" max="7" width="10.88671875" style="1" customWidth="1"/>
    <col min="8" max="8" width="10.6640625" style="1" customWidth="1"/>
    <col min="9" max="9" width="12.77734375" style="508" customWidth="1"/>
    <col min="10" max="10" width="12.6640625" style="508" customWidth="1"/>
    <col min="11" max="12" width="10.33203125" style="1" customWidth="1"/>
    <col min="13" max="14" width="9.88671875" style="1" customWidth="1"/>
    <col min="15" max="15" width="13" style="508" customWidth="1"/>
    <col min="16" max="16" width="12.77734375" style="508" customWidth="1"/>
    <col min="17" max="17" width="11.21875" style="495" customWidth="1"/>
    <col min="18" max="18" width="9.44140625" style="495" customWidth="1"/>
    <col min="19" max="19" width="9.33203125" style="495" customWidth="1"/>
    <col min="20" max="20" width="10.21875" style="495" customWidth="1"/>
    <col min="21" max="21" width="11.21875" style="495" customWidth="1"/>
    <col min="22" max="41" width="9" style="515"/>
    <col min="42" max="16384" width="9" style="495"/>
  </cols>
  <sheetData>
    <row r="1" spans="1:20" ht="12.9" customHeight="1" x14ac:dyDescent="0.2">
      <c r="A1" s="493" t="s">
        <v>2012</v>
      </c>
      <c r="B1" s="494"/>
      <c r="C1" s="675" t="s">
        <v>3373</v>
      </c>
      <c r="D1" s="676"/>
      <c r="E1" s="676"/>
      <c r="F1" s="676"/>
      <c r="G1" s="676"/>
      <c r="H1" s="677"/>
      <c r="I1" s="675" t="s">
        <v>3374</v>
      </c>
      <c r="J1" s="676"/>
      <c r="K1" s="676"/>
      <c r="L1" s="676"/>
      <c r="M1" s="676"/>
      <c r="N1" s="677"/>
      <c r="O1" s="675" t="s">
        <v>3375</v>
      </c>
      <c r="P1" s="676"/>
      <c r="Q1" s="676"/>
      <c r="R1" s="676"/>
      <c r="S1" s="676"/>
      <c r="T1" s="677"/>
    </row>
    <row r="2" spans="1:20" ht="12.9" customHeight="1" x14ac:dyDescent="0.2">
      <c r="A2" s="496"/>
      <c r="B2" s="9"/>
      <c r="C2" s="497" t="s">
        <v>2016</v>
      </c>
      <c r="D2" s="498" t="s">
        <v>3376</v>
      </c>
      <c r="E2" s="4" t="s">
        <v>2017</v>
      </c>
      <c r="F2" s="4" t="s">
        <v>2018</v>
      </c>
      <c r="G2" s="4" t="s">
        <v>2019</v>
      </c>
      <c r="H2" s="5" t="s">
        <v>2020</v>
      </c>
      <c r="I2" s="497" t="s">
        <v>2016</v>
      </c>
      <c r="J2" s="498" t="s">
        <v>3376</v>
      </c>
      <c r="K2" s="4" t="s">
        <v>2017</v>
      </c>
      <c r="L2" s="4" t="s">
        <v>2018</v>
      </c>
      <c r="M2" s="4" t="s">
        <v>2019</v>
      </c>
      <c r="N2" s="5" t="s">
        <v>2020</v>
      </c>
      <c r="O2" s="497" t="s">
        <v>2016</v>
      </c>
      <c r="P2" s="498" t="s">
        <v>3376</v>
      </c>
      <c r="Q2" s="4" t="s">
        <v>2017</v>
      </c>
      <c r="R2" s="4" t="s">
        <v>2018</v>
      </c>
      <c r="S2" s="4" t="s">
        <v>2019</v>
      </c>
      <c r="T2" s="5" t="s">
        <v>2020</v>
      </c>
    </row>
    <row r="3" spans="1:20" ht="12.9" customHeight="1" x14ac:dyDescent="0.2">
      <c r="A3" s="10" t="str">
        <f>+'Past Quartets 1st - 3rd Place'!A3</f>
        <v>1974</v>
      </c>
      <c r="B3" s="10">
        <f>+'Past Quartets 1st - 3rd Place'!B3</f>
        <v>14</v>
      </c>
      <c r="C3" s="197" t="s">
        <v>3377</v>
      </c>
      <c r="D3" s="197" t="s">
        <v>579</v>
      </c>
      <c r="E3" s="1" t="s">
        <v>585</v>
      </c>
      <c r="F3" s="1" t="s">
        <v>702</v>
      </c>
      <c r="G3" s="1" t="s">
        <v>297</v>
      </c>
      <c r="H3" s="3" t="s">
        <v>3219</v>
      </c>
      <c r="I3" s="405" t="s">
        <v>3378</v>
      </c>
      <c r="J3" s="197" t="s">
        <v>2029</v>
      </c>
      <c r="K3" s="1" t="s">
        <v>592</v>
      </c>
      <c r="L3" s="1" t="s">
        <v>593</v>
      </c>
      <c r="M3" s="1" t="s">
        <v>594</v>
      </c>
      <c r="N3" s="1" t="s">
        <v>595</v>
      </c>
      <c r="O3" s="405" t="s">
        <v>3379</v>
      </c>
      <c r="P3" s="499" t="s">
        <v>703</v>
      </c>
      <c r="Q3" s="2" t="s">
        <v>691</v>
      </c>
      <c r="R3" s="2" t="s">
        <v>3700</v>
      </c>
      <c r="S3" s="2" t="s">
        <v>3701</v>
      </c>
      <c r="T3" s="3" t="s">
        <v>3702</v>
      </c>
    </row>
    <row r="4" spans="1:20" ht="12.9" customHeight="1" x14ac:dyDescent="0.2">
      <c r="A4" s="10" t="str">
        <f>+'Past Quartets 1st - 3rd Place'!A4</f>
        <v>1975</v>
      </c>
      <c r="B4" s="10">
        <f>+'Past Quartets 1st - 3rd Place'!B4</f>
        <v>22</v>
      </c>
      <c r="C4" s="197" t="s">
        <v>3381</v>
      </c>
      <c r="D4" s="197" t="s">
        <v>703</v>
      </c>
      <c r="E4" s="2" t="s">
        <v>40</v>
      </c>
      <c r="F4" s="2" t="s">
        <v>4024</v>
      </c>
      <c r="G4" s="2" t="s">
        <v>3206</v>
      </c>
      <c r="H4" s="3" t="s">
        <v>3208</v>
      </c>
      <c r="I4" s="405" t="s">
        <v>3382</v>
      </c>
      <c r="J4" s="197" t="s">
        <v>3533</v>
      </c>
      <c r="K4" s="1" t="s">
        <v>3703</v>
      </c>
      <c r="L4" s="1" t="s">
        <v>4025</v>
      </c>
      <c r="M4" s="1" t="s">
        <v>270</v>
      </c>
      <c r="N4" s="1" t="s">
        <v>3704</v>
      </c>
      <c r="O4" s="405" t="s">
        <v>3383</v>
      </c>
      <c r="P4" s="197" t="s">
        <v>3526</v>
      </c>
      <c r="Q4" s="2" t="s">
        <v>3527</v>
      </c>
      <c r="R4" s="2" t="s">
        <v>3528</v>
      </c>
      <c r="S4" s="2" t="s">
        <v>3084</v>
      </c>
      <c r="T4" s="3" t="s">
        <v>3085</v>
      </c>
    </row>
    <row r="5" spans="1:20" ht="12.9" customHeight="1" x14ac:dyDescent="0.2">
      <c r="A5" s="10" t="str">
        <f>+'Past Quartets 1st - 3rd Place'!A5</f>
        <v>1976</v>
      </c>
      <c r="B5" s="10">
        <f>+'Past Quartets 1st - 3rd Place'!B5</f>
        <v>30</v>
      </c>
      <c r="C5" s="197" t="s">
        <v>3381</v>
      </c>
      <c r="D5" s="197" t="s">
        <v>703</v>
      </c>
      <c r="E5" s="2" t="s">
        <v>40</v>
      </c>
      <c r="F5" s="2" t="s">
        <v>4024</v>
      </c>
      <c r="G5" s="2" t="s">
        <v>3206</v>
      </c>
      <c r="H5" s="1" t="s">
        <v>3208</v>
      </c>
      <c r="I5" s="405" t="s">
        <v>3383</v>
      </c>
      <c r="J5" s="197" t="s">
        <v>3526</v>
      </c>
      <c r="K5" s="2" t="s">
        <v>3527</v>
      </c>
      <c r="L5" s="2" t="s">
        <v>3528</v>
      </c>
      <c r="M5" s="2" t="s">
        <v>3084</v>
      </c>
      <c r="N5" s="2" t="s">
        <v>3085</v>
      </c>
      <c r="O5" s="405" t="s">
        <v>516</v>
      </c>
      <c r="P5" s="197" t="s">
        <v>517</v>
      </c>
      <c r="Q5" s="1" t="s">
        <v>4235</v>
      </c>
      <c r="R5" s="1" t="s">
        <v>4236</v>
      </c>
      <c r="S5" s="1" t="s">
        <v>4237</v>
      </c>
      <c r="T5" s="3" t="s">
        <v>3384</v>
      </c>
    </row>
    <row r="6" spans="1:20" ht="12.9" customHeight="1" x14ac:dyDescent="0.2">
      <c r="A6" s="10" t="str">
        <f>+'Past Quartets 1st - 3rd Place'!A6</f>
        <v>1977</v>
      </c>
      <c r="B6" s="10">
        <f>+'Past Quartets 1st - 3rd Place'!B6</f>
        <v>28</v>
      </c>
      <c r="C6" s="405" t="s">
        <v>3383</v>
      </c>
      <c r="D6" s="197" t="s">
        <v>3526</v>
      </c>
      <c r="E6" s="2" t="s">
        <v>3527</v>
      </c>
      <c r="F6" s="2" t="s">
        <v>3528</v>
      </c>
      <c r="G6" s="2" t="s">
        <v>3084</v>
      </c>
      <c r="H6" s="2" t="s">
        <v>3085</v>
      </c>
      <c r="I6" s="405" t="s">
        <v>4067</v>
      </c>
      <c r="J6" s="197" t="s">
        <v>3533</v>
      </c>
      <c r="K6" s="2" t="s">
        <v>4042</v>
      </c>
      <c r="L6" s="2" t="s">
        <v>3385</v>
      </c>
      <c r="M6" s="2" t="s">
        <v>167</v>
      </c>
      <c r="N6" s="3" t="s">
        <v>3534</v>
      </c>
      <c r="O6" s="280" t="s">
        <v>3386</v>
      </c>
      <c r="P6" s="197" t="s">
        <v>2272</v>
      </c>
      <c r="Q6" s="2" t="s">
        <v>3387</v>
      </c>
      <c r="R6" s="2" t="s">
        <v>1278</v>
      </c>
      <c r="S6" s="2" t="s">
        <v>1279</v>
      </c>
      <c r="T6" s="3" t="s">
        <v>1280</v>
      </c>
    </row>
    <row r="7" spans="1:20" ht="12.9" customHeight="1" x14ac:dyDescent="0.2">
      <c r="A7" s="10" t="str">
        <f>+'Past Quartets 1st - 3rd Place'!A7</f>
        <v>1978</v>
      </c>
      <c r="B7" s="10">
        <f>+'Past Quartets 1st - 3rd Place'!B7</f>
        <v>16</v>
      </c>
      <c r="C7" s="197" t="s">
        <v>4067</v>
      </c>
      <c r="D7" s="197" t="s">
        <v>3533</v>
      </c>
      <c r="E7" s="2" t="s">
        <v>4042</v>
      </c>
      <c r="F7" s="2" t="s">
        <v>3385</v>
      </c>
      <c r="G7" s="2" t="s">
        <v>167</v>
      </c>
      <c r="H7" s="3" t="s">
        <v>3534</v>
      </c>
      <c r="I7" s="405" t="s">
        <v>3383</v>
      </c>
      <c r="J7" s="197" t="s">
        <v>3526</v>
      </c>
      <c r="K7" s="2" t="s">
        <v>3527</v>
      </c>
      <c r="L7" s="2" t="s">
        <v>3528</v>
      </c>
      <c r="M7" s="2" t="s">
        <v>3084</v>
      </c>
      <c r="N7" s="2" t="s">
        <v>3085</v>
      </c>
      <c r="O7" s="405" t="s">
        <v>3388</v>
      </c>
      <c r="P7" s="197" t="s">
        <v>579</v>
      </c>
      <c r="Q7" s="1" t="s">
        <v>3389</v>
      </c>
      <c r="R7" s="2" t="s">
        <v>581</v>
      </c>
      <c r="S7" s="1" t="s">
        <v>3390</v>
      </c>
      <c r="T7" s="3" t="s">
        <v>2707</v>
      </c>
    </row>
    <row r="8" spans="1:20" ht="12.9" customHeight="1" x14ac:dyDescent="0.2">
      <c r="A8" s="500" t="s">
        <v>3213</v>
      </c>
      <c r="B8" s="500"/>
      <c r="C8" s="501" t="s">
        <v>3214</v>
      </c>
      <c r="D8" s="197" t="s">
        <v>3215</v>
      </c>
      <c r="E8" s="2" t="s">
        <v>3215</v>
      </c>
      <c r="F8" s="2" t="s">
        <v>3215</v>
      </c>
      <c r="G8" s="2" t="s">
        <v>3215</v>
      </c>
      <c r="H8" s="3" t="s">
        <v>3215</v>
      </c>
      <c r="I8" s="197" t="s">
        <v>3215</v>
      </c>
      <c r="J8" s="197" t="s">
        <v>3215</v>
      </c>
      <c r="K8" s="2" t="s">
        <v>3215</v>
      </c>
      <c r="L8" s="2" t="s">
        <v>3215</v>
      </c>
      <c r="M8" s="2" t="s">
        <v>3215</v>
      </c>
      <c r="N8" s="3" t="s">
        <v>3215</v>
      </c>
      <c r="O8" s="197" t="s">
        <v>3215</v>
      </c>
      <c r="P8" s="197" t="s">
        <v>3215</v>
      </c>
      <c r="Q8" s="2" t="s">
        <v>3215</v>
      </c>
      <c r="R8" s="2" t="s">
        <v>3215</v>
      </c>
      <c r="S8" s="2" t="s">
        <v>3215</v>
      </c>
      <c r="T8" s="3" t="s">
        <v>3215</v>
      </c>
    </row>
    <row r="9" spans="1:20" ht="12.9" customHeight="1" x14ac:dyDescent="0.2">
      <c r="A9" s="500">
        <v>1979</v>
      </c>
      <c r="B9" s="500"/>
      <c r="C9" s="501" t="s">
        <v>3216</v>
      </c>
      <c r="D9" s="197"/>
      <c r="I9" s="405"/>
      <c r="J9" s="197"/>
      <c r="K9" s="2"/>
      <c r="L9" s="2"/>
      <c r="M9" s="2"/>
      <c r="N9" s="2"/>
      <c r="O9" s="405"/>
      <c r="P9" s="197"/>
      <c r="Q9" s="2"/>
      <c r="R9" s="2"/>
      <c r="S9" s="2"/>
      <c r="T9" s="3"/>
    </row>
    <row r="10" spans="1:20" ht="12.9" customHeight="1" x14ac:dyDescent="0.2">
      <c r="A10" s="10" t="str">
        <f>+'Past Quartets 1st - 3rd Place'!A10</f>
        <v>1980</v>
      </c>
      <c r="B10" s="10">
        <f>+'Past Quartets 1st - 3rd Place'!B10</f>
        <v>21</v>
      </c>
      <c r="C10" s="197" t="s">
        <v>549</v>
      </c>
      <c r="D10" s="197" t="s">
        <v>550</v>
      </c>
      <c r="E10" s="2" t="s">
        <v>3522</v>
      </c>
      <c r="F10" s="2" t="s">
        <v>3391</v>
      </c>
      <c r="G10" s="2" t="s">
        <v>3392</v>
      </c>
      <c r="H10" s="2" t="s">
        <v>3393</v>
      </c>
      <c r="I10" s="405" t="s">
        <v>2269</v>
      </c>
      <c r="J10" s="197" t="s">
        <v>517</v>
      </c>
      <c r="K10" s="2" t="s">
        <v>2795</v>
      </c>
      <c r="L10" s="2" t="s">
        <v>2270</v>
      </c>
      <c r="M10" s="2" t="s">
        <v>1697</v>
      </c>
      <c r="N10" s="2" t="s">
        <v>3248</v>
      </c>
      <c r="O10" s="405" t="s">
        <v>3394</v>
      </c>
      <c r="P10" s="197" t="s">
        <v>49</v>
      </c>
      <c r="Q10" s="2" t="s">
        <v>865</v>
      </c>
      <c r="R10" s="2" t="s">
        <v>704</v>
      </c>
      <c r="S10" s="2" t="s">
        <v>4068</v>
      </c>
      <c r="T10" s="3" t="s">
        <v>692</v>
      </c>
    </row>
    <row r="11" spans="1:20" ht="12.9" customHeight="1" x14ac:dyDescent="0.2">
      <c r="A11" s="10" t="str">
        <f>+'Past Quartets 1st - 3rd Place'!A11</f>
        <v>1981</v>
      </c>
      <c r="B11" s="10">
        <f>+'Past Quartets 1st - 3rd Place'!B11</f>
        <v>31</v>
      </c>
      <c r="C11" s="405" t="s">
        <v>3217</v>
      </c>
      <c r="D11" s="197" t="s">
        <v>579</v>
      </c>
      <c r="E11" s="2" t="s">
        <v>3218</v>
      </c>
      <c r="F11" s="2" t="s">
        <v>3219</v>
      </c>
      <c r="G11" s="2" t="s">
        <v>3220</v>
      </c>
      <c r="H11" s="3" t="s">
        <v>2796</v>
      </c>
      <c r="I11" s="405" t="s">
        <v>2787</v>
      </c>
      <c r="J11" s="197" t="s">
        <v>2272</v>
      </c>
      <c r="K11" s="2" t="s">
        <v>3387</v>
      </c>
      <c r="L11" s="2" t="s">
        <v>3395</v>
      </c>
      <c r="M11" s="2" t="s">
        <v>3396</v>
      </c>
      <c r="N11" s="2" t="s">
        <v>1397</v>
      </c>
      <c r="O11" s="405" t="s">
        <v>3397</v>
      </c>
      <c r="P11" s="197" t="s">
        <v>3398</v>
      </c>
      <c r="Q11" s="2" t="s">
        <v>705</v>
      </c>
      <c r="R11" s="2" t="s">
        <v>369</v>
      </c>
      <c r="S11" s="2" t="s">
        <v>706</v>
      </c>
      <c r="T11" s="3" t="s">
        <v>1851</v>
      </c>
    </row>
    <row r="12" spans="1:20" ht="12.9" customHeight="1" x14ac:dyDescent="0.2">
      <c r="A12" s="10" t="str">
        <f>+'Past Quartets 1st - 3rd Place'!A12</f>
        <v>1982</v>
      </c>
      <c r="B12" s="10">
        <f>+'Past Quartets 1st - 3rd Place'!B12</f>
        <v>23</v>
      </c>
      <c r="C12" s="197" t="s">
        <v>4160</v>
      </c>
      <c r="D12" s="197" t="s">
        <v>4161</v>
      </c>
      <c r="E12" s="1" t="s">
        <v>556</v>
      </c>
      <c r="F12" s="1" t="s">
        <v>558</v>
      </c>
      <c r="G12" s="1" t="s">
        <v>167</v>
      </c>
      <c r="H12" s="3" t="s">
        <v>4162</v>
      </c>
      <c r="I12" s="405" t="s">
        <v>2792</v>
      </c>
      <c r="J12" s="197" t="s">
        <v>517</v>
      </c>
      <c r="K12" s="1" t="s">
        <v>2793</v>
      </c>
      <c r="L12" s="1" t="s">
        <v>2270</v>
      </c>
      <c r="M12" s="1" t="s">
        <v>2794</v>
      </c>
      <c r="N12" s="1" t="s">
        <v>2795</v>
      </c>
      <c r="O12" s="405" t="s">
        <v>2787</v>
      </c>
      <c r="P12" s="197" t="s">
        <v>2272</v>
      </c>
      <c r="Q12" s="2" t="s">
        <v>3387</v>
      </c>
      <c r="R12" s="2" t="s">
        <v>3395</v>
      </c>
      <c r="S12" s="2" t="s">
        <v>3396</v>
      </c>
      <c r="T12" s="3" t="s">
        <v>1397</v>
      </c>
    </row>
    <row r="13" spans="1:20" ht="12.9" customHeight="1" x14ac:dyDescent="0.2">
      <c r="A13" s="10" t="str">
        <f>+'Past Quartets 1st - 3rd Place'!A13</f>
        <v>1983</v>
      </c>
      <c r="B13" s="10">
        <f>+'Past Quartets 1st - 3rd Place'!B13</f>
        <v>25</v>
      </c>
      <c r="C13" s="197" t="s">
        <v>4035</v>
      </c>
      <c r="D13" s="197" t="s">
        <v>3399</v>
      </c>
      <c r="E13" s="1" t="s">
        <v>449</v>
      </c>
      <c r="F13" s="1" t="s">
        <v>270</v>
      </c>
      <c r="G13" s="1" t="s">
        <v>2144</v>
      </c>
      <c r="H13" s="1" t="s">
        <v>557</v>
      </c>
      <c r="I13" s="197" t="s">
        <v>2792</v>
      </c>
      <c r="J13" s="197" t="s">
        <v>517</v>
      </c>
      <c r="K13" s="1" t="s">
        <v>2793</v>
      </c>
      <c r="L13" s="1" t="s">
        <v>2270</v>
      </c>
      <c r="M13" s="1" t="s">
        <v>2794</v>
      </c>
      <c r="N13" s="1" t="s">
        <v>2795</v>
      </c>
      <c r="O13" s="405" t="s">
        <v>3400</v>
      </c>
      <c r="P13" s="197" t="s">
        <v>2804</v>
      </c>
      <c r="Q13" s="2" t="s">
        <v>145</v>
      </c>
      <c r="R13" s="2" t="s">
        <v>290</v>
      </c>
      <c r="S13" s="2" t="s">
        <v>1615</v>
      </c>
      <c r="T13" s="3" t="s">
        <v>857</v>
      </c>
    </row>
    <row r="14" spans="1:20" ht="12.9" customHeight="1" x14ac:dyDescent="0.2">
      <c r="A14" s="10" t="str">
        <f>+'Past Quartets 1st - 3rd Place'!A14</f>
        <v>1984</v>
      </c>
      <c r="B14" s="10">
        <f>+'Past Quartets 1st - 3rd Place'!B14</f>
        <v>26</v>
      </c>
      <c r="C14" s="197" t="s">
        <v>4035</v>
      </c>
      <c r="D14" s="197" t="s">
        <v>3399</v>
      </c>
      <c r="E14" s="1" t="s">
        <v>449</v>
      </c>
      <c r="F14" s="1" t="s">
        <v>270</v>
      </c>
      <c r="G14" s="1" t="s">
        <v>2144</v>
      </c>
      <c r="H14" s="1" t="s">
        <v>557</v>
      </c>
      <c r="I14" s="405" t="s">
        <v>4040</v>
      </c>
      <c r="J14" s="197" t="s">
        <v>4041</v>
      </c>
      <c r="K14" s="1" t="s">
        <v>4043</v>
      </c>
      <c r="L14" s="1" t="s">
        <v>371</v>
      </c>
      <c r="M14" s="1" t="s">
        <v>791</v>
      </c>
      <c r="N14" s="3" t="s">
        <v>4045</v>
      </c>
      <c r="O14" s="197" t="s">
        <v>792</v>
      </c>
      <c r="P14" s="197" t="s">
        <v>1860</v>
      </c>
      <c r="Q14" s="1" t="s">
        <v>793</v>
      </c>
      <c r="R14" s="1" t="s">
        <v>1862</v>
      </c>
      <c r="S14" s="1" t="s">
        <v>1863</v>
      </c>
      <c r="T14" s="3" t="s">
        <v>794</v>
      </c>
    </row>
    <row r="15" spans="1:20" ht="12.9" customHeight="1" x14ac:dyDescent="0.2">
      <c r="A15" s="10" t="str">
        <f>+'Past Quartets 1st - 3rd Place'!A15</f>
        <v>1985</v>
      </c>
      <c r="B15" s="10">
        <f>+'Past Quartets 1st - 3rd Place'!B15</f>
        <v>34</v>
      </c>
      <c r="C15" s="197" t="s">
        <v>2800</v>
      </c>
      <c r="D15" s="197" t="s">
        <v>795</v>
      </c>
      <c r="E15" s="1" t="s">
        <v>44</v>
      </c>
      <c r="F15" s="1" t="s">
        <v>4052</v>
      </c>
      <c r="G15" s="1" t="s">
        <v>2802</v>
      </c>
      <c r="H15" s="1" t="s">
        <v>4054</v>
      </c>
      <c r="I15" s="197" t="s">
        <v>2464</v>
      </c>
      <c r="J15" s="197" t="s">
        <v>4249</v>
      </c>
      <c r="K15" s="1" t="s">
        <v>1518</v>
      </c>
      <c r="L15" s="1" t="s">
        <v>796</v>
      </c>
      <c r="M15" s="1" t="s">
        <v>1519</v>
      </c>
      <c r="N15" s="3" t="s">
        <v>1520</v>
      </c>
      <c r="O15" s="197" t="s">
        <v>2460</v>
      </c>
      <c r="P15" s="197" t="s">
        <v>4230</v>
      </c>
      <c r="Q15" s="1" t="s">
        <v>2461</v>
      </c>
      <c r="R15" s="1" t="s">
        <v>4157</v>
      </c>
      <c r="S15" s="1" t="s">
        <v>2462</v>
      </c>
      <c r="T15" s="3" t="s">
        <v>446</v>
      </c>
    </row>
    <row r="16" spans="1:20" ht="12.9" customHeight="1" x14ac:dyDescent="0.2">
      <c r="A16" s="10" t="str">
        <f>+'Past Quartets 1st - 3rd Place'!A16</f>
        <v>1986</v>
      </c>
      <c r="B16" s="10">
        <f>+'Past Quartets 1st - 3rd Place'!B16</f>
        <v>34</v>
      </c>
      <c r="C16" s="197" t="s">
        <v>2803</v>
      </c>
      <c r="D16" s="197" t="s">
        <v>2804</v>
      </c>
      <c r="E16" s="1" t="s">
        <v>145</v>
      </c>
      <c r="F16" s="1" t="s">
        <v>290</v>
      </c>
      <c r="G16" s="1" t="s">
        <v>797</v>
      </c>
      <c r="H16" s="3" t="s">
        <v>2817</v>
      </c>
      <c r="I16" s="405" t="s">
        <v>4061</v>
      </c>
      <c r="J16" s="197" t="s">
        <v>4062</v>
      </c>
      <c r="K16" s="2" t="s">
        <v>4063</v>
      </c>
      <c r="L16" s="2" t="s">
        <v>278</v>
      </c>
      <c r="M16" s="2" t="s">
        <v>279</v>
      </c>
      <c r="N16" s="1" t="s">
        <v>280</v>
      </c>
      <c r="O16" s="197" t="s">
        <v>2460</v>
      </c>
      <c r="P16" s="197" t="s">
        <v>4230</v>
      </c>
      <c r="Q16" s="1" t="s">
        <v>2461</v>
      </c>
      <c r="R16" s="1" t="s">
        <v>446</v>
      </c>
      <c r="S16" s="1" t="s">
        <v>2462</v>
      </c>
      <c r="T16" s="3" t="s">
        <v>3385</v>
      </c>
    </row>
    <row r="17" spans="1:34" ht="12.9" customHeight="1" x14ac:dyDescent="0.2">
      <c r="A17" s="10" t="str">
        <f>+'Past Quartets 1st - 3rd Place'!A17</f>
        <v>1987</v>
      </c>
      <c r="B17" s="10">
        <f>+'Past Quartets 1st - 3rd Place'!B17</f>
        <v>33</v>
      </c>
      <c r="C17" s="197" t="s">
        <v>48</v>
      </c>
      <c r="D17" s="197" t="s">
        <v>49</v>
      </c>
      <c r="E17" s="2" t="s">
        <v>458</v>
      </c>
      <c r="F17" s="2" t="s">
        <v>2705</v>
      </c>
      <c r="G17" s="2" t="s">
        <v>2706</v>
      </c>
      <c r="H17" s="2" t="s">
        <v>4068</v>
      </c>
      <c r="I17" s="405" t="s">
        <v>2800</v>
      </c>
      <c r="J17" s="197" t="s">
        <v>795</v>
      </c>
      <c r="K17" s="1" t="s">
        <v>44</v>
      </c>
      <c r="L17" s="1" t="s">
        <v>4052</v>
      </c>
      <c r="M17" s="1" t="s">
        <v>2802</v>
      </c>
      <c r="N17" s="1" t="s">
        <v>4054</v>
      </c>
      <c r="O17" s="405" t="s">
        <v>4172</v>
      </c>
      <c r="P17" s="197" t="s">
        <v>579</v>
      </c>
      <c r="Q17" s="2" t="s">
        <v>3218</v>
      </c>
      <c r="R17" s="2" t="s">
        <v>581</v>
      </c>
      <c r="S17" s="2" t="s">
        <v>3220</v>
      </c>
      <c r="T17" s="3" t="s">
        <v>2796</v>
      </c>
    </row>
    <row r="18" spans="1:34" ht="12.9" customHeight="1" x14ac:dyDescent="0.2">
      <c r="A18" s="10" t="str">
        <f>+'Past Quartets 1st - 3rd Place'!A18</f>
        <v>1988</v>
      </c>
      <c r="B18" s="10">
        <f>+'Past Quartets 1st - 3rd Place'!B18</f>
        <v>36</v>
      </c>
      <c r="C18" s="197" t="s">
        <v>2800</v>
      </c>
      <c r="D18" s="197" t="s">
        <v>795</v>
      </c>
      <c r="E18" s="1" t="s">
        <v>44</v>
      </c>
      <c r="F18" s="1" t="s">
        <v>4052</v>
      </c>
      <c r="G18" s="1" t="s">
        <v>2802</v>
      </c>
      <c r="H18" s="1" t="s">
        <v>4054</v>
      </c>
      <c r="I18" s="197" t="s">
        <v>2473</v>
      </c>
      <c r="J18" s="504" t="s">
        <v>550</v>
      </c>
      <c r="K18" s="1" t="s">
        <v>3522</v>
      </c>
      <c r="L18" s="1" t="s">
        <v>2474</v>
      </c>
      <c r="M18" s="1" t="s">
        <v>4076</v>
      </c>
      <c r="N18" s="3" t="s">
        <v>1312</v>
      </c>
      <c r="O18" s="197" t="s">
        <v>798</v>
      </c>
      <c r="P18" s="504" t="s">
        <v>799</v>
      </c>
      <c r="Q18" s="1" t="s">
        <v>800</v>
      </c>
      <c r="R18" s="1" t="s">
        <v>801</v>
      </c>
      <c r="S18" s="1" t="s">
        <v>2144</v>
      </c>
      <c r="T18" s="3" t="s">
        <v>557</v>
      </c>
      <c r="AC18" s="523"/>
      <c r="AD18" s="523"/>
      <c r="AE18" s="523"/>
      <c r="AF18" s="523"/>
      <c r="AG18" s="523"/>
      <c r="AH18" s="523"/>
    </row>
    <row r="19" spans="1:34" ht="12.9" customHeight="1" x14ac:dyDescent="0.2">
      <c r="A19" s="10" t="str">
        <f>+'Past Quartets 1st - 3rd Place'!A19</f>
        <v>1989</v>
      </c>
      <c r="B19" s="10">
        <f>+'Past Quartets 1st - 3rd Place'!B19</f>
        <v>33</v>
      </c>
      <c r="C19" s="197" t="s">
        <v>281</v>
      </c>
      <c r="D19" s="197" t="s">
        <v>28</v>
      </c>
      <c r="E19" s="2" t="s">
        <v>802</v>
      </c>
      <c r="F19" s="2" t="s">
        <v>1851</v>
      </c>
      <c r="G19" s="2" t="s">
        <v>1852</v>
      </c>
      <c r="H19" s="3" t="s">
        <v>758</v>
      </c>
      <c r="I19" s="197" t="s">
        <v>2473</v>
      </c>
      <c r="J19" s="504" t="s">
        <v>550</v>
      </c>
      <c r="K19" s="1" t="s">
        <v>3522</v>
      </c>
      <c r="L19" s="1" t="s">
        <v>2474</v>
      </c>
      <c r="M19" s="1" t="s">
        <v>4076</v>
      </c>
      <c r="N19" s="3" t="s">
        <v>1312</v>
      </c>
      <c r="O19" s="197" t="s">
        <v>798</v>
      </c>
      <c r="P19" s="504" t="s">
        <v>799</v>
      </c>
      <c r="Q19" s="1" t="s">
        <v>800</v>
      </c>
      <c r="R19" s="1" t="s">
        <v>801</v>
      </c>
      <c r="S19" s="1" t="s">
        <v>2144</v>
      </c>
      <c r="T19" s="3" t="s">
        <v>557</v>
      </c>
      <c r="AC19" s="523"/>
      <c r="AD19" s="523"/>
      <c r="AE19" s="523"/>
      <c r="AF19" s="523"/>
      <c r="AG19" s="523"/>
      <c r="AH19" s="523"/>
    </row>
    <row r="20" spans="1:34" ht="12.9" customHeight="1" x14ac:dyDescent="0.2">
      <c r="A20" s="10" t="str">
        <f>+'Past Quartets 1st - 3rd Place'!A20</f>
        <v>1990</v>
      </c>
      <c r="B20" s="10">
        <f>+'Past Quartets 1st - 3rd Place'!B20</f>
        <v>39</v>
      </c>
      <c r="C20" s="197" t="s">
        <v>48</v>
      </c>
      <c r="D20" s="197" t="s">
        <v>49</v>
      </c>
      <c r="E20" s="2" t="s">
        <v>458</v>
      </c>
      <c r="F20" s="2" t="s">
        <v>2705</v>
      </c>
      <c r="G20" s="2" t="s">
        <v>2706</v>
      </c>
      <c r="H20" s="2" t="s">
        <v>4068</v>
      </c>
      <c r="I20" s="405" t="s">
        <v>4100</v>
      </c>
      <c r="J20" s="197" t="s">
        <v>130</v>
      </c>
      <c r="K20" s="1" t="s">
        <v>131</v>
      </c>
      <c r="L20" s="1" t="s">
        <v>132</v>
      </c>
      <c r="M20" s="1" t="s">
        <v>133</v>
      </c>
      <c r="N20" s="1" t="s">
        <v>252</v>
      </c>
      <c r="O20" s="405" t="s">
        <v>803</v>
      </c>
      <c r="P20" s="197" t="s">
        <v>4041</v>
      </c>
      <c r="Q20" s="1" t="s">
        <v>171</v>
      </c>
      <c r="R20" s="1" t="s">
        <v>290</v>
      </c>
      <c r="S20" s="1" t="s">
        <v>2369</v>
      </c>
      <c r="T20" s="3" t="s">
        <v>804</v>
      </c>
      <c r="AC20" s="523"/>
      <c r="AD20" s="523"/>
      <c r="AE20" s="523"/>
      <c r="AF20" s="523"/>
      <c r="AG20" s="523"/>
      <c r="AH20" s="523"/>
    </row>
    <row r="21" spans="1:34" ht="12.9" customHeight="1" x14ac:dyDescent="0.2">
      <c r="A21" s="10" t="str">
        <f>+'Past Quartets 1st - 3rd Place'!A21</f>
        <v>1991</v>
      </c>
      <c r="B21" s="10">
        <f>+'Past Quartets 1st - 3rd Place'!B21</f>
        <v>28</v>
      </c>
      <c r="C21" s="197" t="s">
        <v>138</v>
      </c>
      <c r="D21" s="197" t="s">
        <v>139</v>
      </c>
      <c r="E21" s="1" t="s">
        <v>145</v>
      </c>
      <c r="F21" s="1" t="s">
        <v>146</v>
      </c>
      <c r="G21" s="1" t="s">
        <v>2817</v>
      </c>
      <c r="H21" s="1" t="s">
        <v>2818</v>
      </c>
      <c r="I21" s="405" t="s">
        <v>3946</v>
      </c>
      <c r="J21" s="197" t="s">
        <v>517</v>
      </c>
      <c r="K21" s="1" t="s">
        <v>3517</v>
      </c>
      <c r="L21" s="1" t="s">
        <v>662</v>
      </c>
      <c r="M21" s="1" t="s">
        <v>3518</v>
      </c>
      <c r="N21" s="3" t="s">
        <v>3519</v>
      </c>
      <c r="O21" s="405" t="s">
        <v>805</v>
      </c>
      <c r="P21" s="197" t="s">
        <v>4041</v>
      </c>
      <c r="Q21" s="1" t="s">
        <v>3527</v>
      </c>
      <c r="R21" s="1" t="s">
        <v>3601</v>
      </c>
      <c r="S21" s="1" t="s">
        <v>3558</v>
      </c>
      <c r="T21" s="3" t="s">
        <v>687</v>
      </c>
    </row>
    <row r="22" spans="1:34" ht="12.9" customHeight="1" x14ac:dyDescent="0.2">
      <c r="A22" s="10" t="str">
        <f>+'Past Quartets 1st - 3rd Place'!A22</f>
        <v>1992</v>
      </c>
      <c r="B22" s="10">
        <f>+'Past Quartets 1st - 3rd Place'!B22</f>
        <v>33</v>
      </c>
      <c r="C22" s="197" t="s">
        <v>3946</v>
      </c>
      <c r="D22" s="197" t="s">
        <v>517</v>
      </c>
      <c r="E22" s="1" t="s">
        <v>3517</v>
      </c>
      <c r="F22" s="1" t="s">
        <v>662</v>
      </c>
      <c r="G22" s="1" t="s">
        <v>3518</v>
      </c>
      <c r="H22" s="3" t="s">
        <v>3519</v>
      </c>
      <c r="I22" s="405" t="s">
        <v>3291</v>
      </c>
      <c r="J22" s="197" t="s">
        <v>3292</v>
      </c>
      <c r="K22" s="7" t="s">
        <v>449</v>
      </c>
      <c r="L22" s="2" t="s">
        <v>2144</v>
      </c>
      <c r="M22" s="2" t="s">
        <v>3705</v>
      </c>
      <c r="N22" s="3" t="s">
        <v>557</v>
      </c>
      <c r="O22" s="405" t="s">
        <v>262</v>
      </c>
      <c r="P22" s="197" t="s">
        <v>263</v>
      </c>
      <c r="Q22" s="2" t="s">
        <v>264</v>
      </c>
      <c r="R22" s="2" t="s">
        <v>4260</v>
      </c>
      <c r="S22" s="2" t="s">
        <v>2466</v>
      </c>
      <c r="T22" s="3" t="s">
        <v>265</v>
      </c>
    </row>
    <row r="23" spans="1:34" ht="12.9" customHeight="1" x14ac:dyDescent="0.2">
      <c r="A23" s="10" t="str">
        <f>+'Past Quartets 1st - 3rd Place'!A23</f>
        <v>1993</v>
      </c>
      <c r="B23" s="10">
        <f>+'Past Quartets 1st - 3rd Place'!B23</f>
        <v>27</v>
      </c>
      <c r="C23" s="197" t="s">
        <v>262</v>
      </c>
      <c r="D23" s="197" t="s">
        <v>263</v>
      </c>
      <c r="E23" s="2" t="s">
        <v>264</v>
      </c>
      <c r="F23" s="2" t="s">
        <v>4260</v>
      </c>
      <c r="G23" s="2" t="s">
        <v>2466</v>
      </c>
      <c r="H23" s="3" t="s">
        <v>265</v>
      </c>
      <c r="I23" s="405" t="s">
        <v>3946</v>
      </c>
      <c r="J23" s="197" t="s">
        <v>517</v>
      </c>
      <c r="K23" s="1" t="s">
        <v>3517</v>
      </c>
      <c r="L23" s="1" t="s">
        <v>662</v>
      </c>
      <c r="M23" s="1" t="s">
        <v>3518</v>
      </c>
      <c r="N23" s="3" t="s">
        <v>3519</v>
      </c>
      <c r="O23" s="405" t="s">
        <v>48</v>
      </c>
      <c r="P23" s="197" t="s">
        <v>49</v>
      </c>
      <c r="Q23" s="2" t="s">
        <v>458</v>
      </c>
      <c r="R23" s="2" t="s">
        <v>2705</v>
      </c>
      <c r="S23" s="2" t="s">
        <v>2706</v>
      </c>
      <c r="T23" s="3" t="s">
        <v>4068</v>
      </c>
    </row>
    <row r="24" spans="1:34" ht="12.9" customHeight="1" x14ac:dyDescent="0.2">
      <c r="A24" s="10" t="str">
        <f>+'Past Quartets 1st - 3rd Place'!A24</f>
        <v>1994</v>
      </c>
      <c r="B24" s="10">
        <f>+'Past Quartets 1st - 3rd Place'!B24</f>
        <v>37</v>
      </c>
      <c r="C24" s="197" t="s">
        <v>3291</v>
      </c>
      <c r="D24" s="197" t="s">
        <v>3292</v>
      </c>
      <c r="E24" s="7" t="s">
        <v>449</v>
      </c>
      <c r="F24" s="2" t="s">
        <v>2144</v>
      </c>
      <c r="G24" s="2" t="s">
        <v>3705</v>
      </c>
      <c r="H24" s="3" t="s">
        <v>557</v>
      </c>
      <c r="I24" s="405" t="s">
        <v>269</v>
      </c>
      <c r="J24" s="197" t="s">
        <v>4079</v>
      </c>
      <c r="K24" s="2" t="s">
        <v>254</v>
      </c>
      <c r="L24" s="2" t="s">
        <v>4081</v>
      </c>
      <c r="M24" s="2" t="s">
        <v>270</v>
      </c>
      <c r="N24" s="3" t="s">
        <v>4080</v>
      </c>
      <c r="O24" s="405" t="s">
        <v>806</v>
      </c>
      <c r="P24" s="197" t="s">
        <v>2733</v>
      </c>
      <c r="Q24" s="1" t="s">
        <v>2469</v>
      </c>
      <c r="R24" s="1" t="s">
        <v>807</v>
      </c>
      <c r="S24" s="1" t="s">
        <v>808</v>
      </c>
      <c r="T24" s="3" t="s">
        <v>809</v>
      </c>
    </row>
    <row r="25" spans="1:34" ht="12.9" customHeight="1" x14ac:dyDescent="0.2">
      <c r="A25" s="10" t="str">
        <f>+'Past Quartets 1st - 3rd Place'!A25</f>
        <v>1995</v>
      </c>
      <c r="B25" s="10">
        <f>+'Past Quartets 1st - 3rd Place'!B25</f>
        <v>35</v>
      </c>
      <c r="C25" s="197" t="s">
        <v>163</v>
      </c>
      <c r="D25" s="197" t="s">
        <v>164</v>
      </c>
      <c r="E25" s="1" t="s">
        <v>165</v>
      </c>
      <c r="F25" s="1" t="s">
        <v>166</v>
      </c>
      <c r="G25" s="1" t="s">
        <v>167</v>
      </c>
      <c r="H25" s="3" t="s">
        <v>168</v>
      </c>
      <c r="I25" s="405" t="s">
        <v>3946</v>
      </c>
      <c r="J25" s="197" t="s">
        <v>517</v>
      </c>
      <c r="K25" s="1" t="s">
        <v>3517</v>
      </c>
      <c r="L25" s="1" t="s">
        <v>662</v>
      </c>
      <c r="M25" s="1" t="s">
        <v>3518</v>
      </c>
      <c r="N25" s="3" t="s">
        <v>3519</v>
      </c>
      <c r="O25" s="405" t="s">
        <v>3945</v>
      </c>
      <c r="P25" s="197" t="s">
        <v>3280</v>
      </c>
      <c r="Q25" s="1" t="s">
        <v>40</v>
      </c>
      <c r="R25" s="1" t="s">
        <v>2812</v>
      </c>
      <c r="S25" s="1" t="s">
        <v>2706</v>
      </c>
      <c r="T25" s="3" t="s">
        <v>2705</v>
      </c>
    </row>
    <row r="26" spans="1:34" ht="12.9" customHeight="1" x14ac:dyDescent="0.2">
      <c r="A26" s="10" t="str">
        <f>+'Past Quartets 1st - 3rd Place'!A26</f>
        <v>1996</v>
      </c>
      <c r="B26" s="10">
        <f>+'Past Quartets 1st - 3rd Place'!B26</f>
        <v>41</v>
      </c>
      <c r="C26" s="197" t="s">
        <v>3291</v>
      </c>
      <c r="D26" s="197" t="s">
        <v>3292</v>
      </c>
      <c r="E26" s="7" t="s">
        <v>449</v>
      </c>
      <c r="F26" s="2" t="s">
        <v>557</v>
      </c>
      <c r="G26" s="2" t="s">
        <v>2144</v>
      </c>
      <c r="H26" s="3" t="s">
        <v>2818</v>
      </c>
      <c r="I26" s="405" t="s">
        <v>1635</v>
      </c>
      <c r="J26" s="197" t="s">
        <v>1636</v>
      </c>
      <c r="K26" s="7" t="s">
        <v>1637</v>
      </c>
      <c r="L26" s="2" t="s">
        <v>4083</v>
      </c>
      <c r="M26" s="2" t="s">
        <v>1639</v>
      </c>
      <c r="N26" s="3" t="s">
        <v>252</v>
      </c>
      <c r="O26" s="405" t="s">
        <v>1623</v>
      </c>
      <c r="P26" s="197" t="s">
        <v>1624</v>
      </c>
      <c r="Q26" s="2" t="s">
        <v>439</v>
      </c>
      <c r="R26" s="2" t="s">
        <v>1626</v>
      </c>
      <c r="S26" s="2" t="s">
        <v>1627</v>
      </c>
      <c r="T26" s="3" t="s">
        <v>1628</v>
      </c>
    </row>
    <row r="27" spans="1:34" ht="12.9" customHeight="1" x14ac:dyDescent="0.2">
      <c r="A27" s="10" t="str">
        <f>+'Past Quartets 1st - 3rd Place'!A27</f>
        <v>1997</v>
      </c>
      <c r="B27" s="10">
        <f>+'Past Quartets 1st - 3rd Place'!B27</f>
        <v>31</v>
      </c>
      <c r="C27" s="197" t="s">
        <v>163</v>
      </c>
      <c r="D27" s="197" t="s">
        <v>164</v>
      </c>
      <c r="E27" s="1" t="s">
        <v>165</v>
      </c>
      <c r="F27" s="1" t="s">
        <v>166</v>
      </c>
      <c r="G27" s="1" t="s">
        <v>167</v>
      </c>
      <c r="H27" s="3" t="s">
        <v>168</v>
      </c>
      <c r="I27" s="405" t="s">
        <v>1967</v>
      </c>
      <c r="J27" s="197" t="s">
        <v>1968</v>
      </c>
      <c r="K27" s="7" t="s">
        <v>1969</v>
      </c>
      <c r="L27" s="2" t="s">
        <v>1970</v>
      </c>
      <c r="M27" s="2" t="s">
        <v>255</v>
      </c>
      <c r="N27" s="3" t="s">
        <v>1303</v>
      </c>
      <c r="O27" s="405" t="s">
        <v>1623</v>
      </c>
      <c r="P27" s="197" t="s">
        <v>1624</v>
      </c>
      <c r="Q27" s="2" t="s">
        <v>439</v>
      </c>
      <c r="R27" s="2" t="s">
        <v>1626</v>
      </c>
      <c r="S27" s="2" t="s">
        <v>1627</v>
      </c>
      <c r="T27" s="3" t="s">
        <v>1628</v>
      </c>
    </row>
    <row r="28" spans="1:34" ht="12.9" customHeight="1" x14ac:dyDescent="0.2">
      <c r="A28" s="10" t="str">
        <f>+'Past Quartets 1st - 3rd Place'!A28</f>
        <v>1998</v>
      </c>
      <c r="B28" s="10">
        <f>+'Past Quartets 1st - 3rd Place'!B28</f>
        <v>30</v>
      </c>
      <c r="C28" s="197" t="s">
        <v>1635</v>
      </c>
      <c r="D28" s="197" t="s">
        <v>810</v>
      </c>
      <c r="E28" s="2" t="s">
        <v>811</v>
      </c>
      <c r="F28" s="1" t="s">
        <v>1638</v>
      </c>
      <c r="G28" s="1" t="s">
        <v>1639</v>
      </c>
      <c r="H28" s="1" t="s">
        <v>252</v>
      </c>
      <c r="I28" s="405" t="s">
        <v>3296</v>
      </c>
      <c r="J28" s="197" t="s">
        <v>3292</v>
      </c>
      <c r="K28" s="2" t="s">
        <v>145</v>
      </c>
      <c r="L28" s="2" t="s">
        <v>146</v>
      </c>
      <c r="M28" s="2" t="s">
        <v>1615</v>
      </c>
      <c r="N28" s="3" t="s">
        <v>2950</v>
      </c>
      <c r="O28" s="405" t="s">
        <v>2135</v>
      </c>
      <c r="P28" s="197" t="s">
        <v>4041</v>
      </c>
      <c r="Q28" s="1" t="s">
        <v>4056</v>
      </c>
      <c r="R28" s="1" t="s">
        <v>2136</v>
      </c>
      <c r="S28" s="1" t="s">
        <v>808</v>
      </c>
      <c r="T28" s="3" t="s">
        <v>4045</v>
      </c>
    </row>
    <row r="29" spans="1:34" ht="12.9" customHeight="1" x14ac:dyDescent="0.2">
      <c r="A29" s="10" t="str">
        <f>+'Past Quartets 1st - 3rd Place'!A29</f>
        <v>1999</v>
      </c>
      <c r="B29" s="10">
        <f>+'Past Quartets 1st - 3rd Place'!B29</f>
        <v>38</v>
      </c>
      <c r="C29" s="197" t="s">
        <v>3291</v>
      </c>
      <c r="D29" s="197" t="s">
        <v>3292</v>
      </c>
      <c r="E29" s="7" t="s">
        <v>449</v>
      </c>
      <c r="F29" s="2" t="s">
        <v>557</v>
      </c>
      <c r="G29" s="2" t="s">
        <v>2144</v>
      </c>
      <c r="H29" s="3" t="s">
        <v>2818</v>
      </c>
      <c r="I29" s="405" t="s">
        <v>815</v>
      </c>
      <c r="J29" s="197" t="s">
        <v>2361</v>
      </c>
      <c r="K29" s="2" t="s">
        <v>3687</v>
      </c>
      <c r="L29" s="2" t="s">
        <v>3688</v>
      </c>
      <c r="M29" s="2" t="s">
        <v>3689</v>
      </c>
      <c r="N29" s="3" t="s">
        <v>3690</v>
      </c>
      <c r="O29" s="405" t="s">
        <v>2145</v>
      </c>
      <c r="P29" s="197" t="s">
        <v>1636</v>
      </c>
      <c r="Q29" s="7" t="s">
        <v>812</v>
      </c>
      <c r="R29" s="2" t="s">
        <v>813</v>
      </c>
      <c r="S29" s="2" t="s">
        <v>814</v>
      </c>
      <c r="T29" s="3" t="s">
        <v>3534</v>
      </c>
    </row>
    <row r="30" spans="1:34" ht="12.9" customHeight="1" x14ac:dyDescent="0.2">
      <c r="A30" s="10" t="str">
        <f>+'Past Quartets 1st - 3rd Place'!A30</f>
        <v>2000</v>
      </c>
      <c r="B30" s="10">
        <f>+'Past Quartets 1st - 3rd Place'!B30</f>
        <v>28</v>
      </c>
      <c r="C30" s="197" t="s">
        <v>1309</v>
      </c>
      <c r="D30" s="197" t="s">
        <v>1310</v>
      </c>
      <c r="E30" s="7" t="s">
        <v>1311</v>
      </c>
      <c r="F30" s="2" t="s">
        <v>1312</v>
      </c>
      <c r="G30" s="2" t="s">
        <v>816</v>
      </c>
      <c r="H30" s="3" t="s">
        <v>2746</v>
      </c>
      <c r="I30" s="405" t="s">
        <v>281</v>
      </c>
      <c r="J30" s="197" t="s">
        <v>817</v>
      </c>
      <c r="K30" s="7" t="s">
        <v>802</v>
      </c>
      <c r="L30" s="2" t="s">
        <v>1851</v>
      </c>
      <c r="M30" s="2" t="s">
        <v>1852</v>
      </c>
      <c r="N30" s="3" t="s">
        <v>758</v>
      </c>
      <c r="O30" s="405" t="s">
        <v>818</v>
      </c>
      <c r="P30" s="197" t="s">
        <v>517</v>
      </c>
      <c r="Q30" s="2" t="s">
        <v>819</v>
      </c>
      <c r="R30" s="2" t="s">
        <v>662</v>
      </c>
      <c r="S30" s="2" t="s">
        <v>820</v>
      </c>
      <c r="T30" s="3" t="s">
        <v>3519</v>
      </c>
    </row>
    <row r="31" spans="1:34" ht="12.9" customHeight="1" x14ac:dyDescent="0.2">
      <c r="A31" s="10" t="str">
        <f>+'Past Quartets 1st - 3rd Place'!A31</f>
        <v>2001</v>
      </c>
      <c r="B31" s="10">
        <f>+'Past Quartets 1st - 3rd Place'!B31</f>
        <v>30</v>
      </c>
      <c r="C31" s="197" t="s">
        <v>4088</v>
      </c>
      <c r="D31" s="197" t="s">
        <v>3292</v>
      </c>
      <c r="E31" s="7" t="s">
        <v>40</v>
      </c>
      <c r="F31" s="2" t="s">
        <v>4083</v>
      </c>
      <c r="G31" s="2" t="s">
        <v>2144</v>
      </c>
      <c r="H31" s="3" t="s">
        <v>557</v>
      </c>
      <c r="I31" s="405" t="s">
        <v>2759</v>
      </c>
      <c r="J31" s="197" t="s">
        <v>2760</v>
      </c>
      <c r="K31" s="2" t="s">
        <v>433</v>
      </c>
      <c r="L31" s="2" t="s">
        <v>1626</v>
      </c>
      <c r="M31" s="1" t="s">
        <v>1627</v>
      </c>
      <c r="N31" s="2" t="s">
        <v>434</v>
      </c>
      <c r="O31" s="405" t="s">
        <v>2752</v>
      </c>
      <c r="P31" s="197" t="s">
        <v>2753</v>
      </c>
      <c r="Q31" s="2" t="s">
        <v>439</v>
      </c>
      <c r="R31" s="2" t="s">
        <v>2817</v>
      </c>
      <c r="S31" s="2" t="s">
        <v>440</v>
      </c>
      <c r="T31" s="3" t="s">
        <v>2818</v>
      </c>
    </row>
    <row r="32" spans="1:34" ht="12.9" customHeight="1" x14ac:dyDescent="0.2">
      <c r="A32" s="10" t="str">
        <f>+'Past Quartets 1st - 3rd Place'!A32</f>
        <v>2002</v>
      </c>
      <c r="B32" s="10">
        <f>+'Past Quartets 1st - 3rd Place'!B32</f>
        <v>24</v>
      </c>
      <c r="C32" s="197" t="s">
        <v>4088</v>
      </c>
      <c r="D32" s="197" t="s">
        <v>3292</v>
      </c>
      <c r="E32" s="7" t="s">
        <v>40</v>
      </c>
      <c r="F32" s="2" t="s">
        <v>4083</v>
      </c>
      <c r="G32" s="2" t="s">
        <v>2144</v>
      </c>
      <c r="H32" s="3" t="s">
        <v>557</v>
      </c>
      <c r="I32" s="405" t="s">
        <v>2759</v>
      </c>
      <c r="J32" s="197" t="s">
        <v>2760</v>
      </c>
      <c r="K32" s="2" t="s">
        <v>433</v>
      </c>
      <c r="L32" s="2" t="s">
        <v>1626</v>
      </c>
      <c r="M32" s="1" t="s">
        <v>1627</v>
      </c>
      <c r="N32" s="2" t="s">
        <v>434</v>
      </c>
      <c r="O32" s="405" t="s">
        <v>281</v>
      </c>
      <c r="P32" s="197" t="s">
        <v>2362</v>
      </c>
      <c r="Q32" s="7" t="s">
        <v>458</v>
      </c>
      <c r="R32" s="2" t="s">
        <v>1851</v>
      </c>
      <c r="S32" s="2" t="s">
        <v>1852</v>
      </c>
      <c r="T32" s="3" t="s">
        <v>758</v>
      </c>
      <c r="U32" s="2"/>
      <c r="V32" s="523"/>
    </row>
    <row r="33" spans="1:41" ht="12.9" customHeight="1" x14ac:dyDescent="0.2">
      <c r="A33" s="10" t="str">
        <f>+'Past Quartets 1st - 3rd Place'!A33</f>
        <v>2003</v>
      </c>
      <c r="B33" s="10">
        <f>+'Past Quartets 1st - 3rd Place'!B33</f>
        <v>23</v>
      </c>
      <c r="C33" s="197" t="s">
        <v>4088</v>
      </c>
      <c r="D33" s="197" t="s">
        <v>3292</v>
      </c>
      <c r="E33" s="7" t="s">
        <v>40</v>
      </c>
      <c r="F33" s="2" t="s">
        <v>4083</v>
      </c>
      <c r="G33" s="2" t="s">
        <v>2144</v>
      </c>
      <c r="H33" s="3" t="s">
        <v>557</v>
      </c>
      <c r="I33" s="405" t="s">
        <v>281</v>
      </c>
      <c r="J33" s="197" t="s">
        <v>2362</v>
      </c>
      <c r="K33" s="7" t="s">
        <v>458</v>
      </c>
      <c r="L33" s="2" t="s">
        <v>1851</v>
      </c>
      <c r="M33" s="2" t="s">
        <v>1852</v>
      </c>
      <c r="N33" s="3" t="s">
        <v>758</v>
      </c>
      <c r="O33" s="405" t="s">
        <v>2145</v>
      </c>
      <c r="P33" s="197" t="s">
        <v>4630</v>
      </c>
      <c r="Q33" s="7" t="s">
        <v>812</v>
      </c>
      <c r="R33" s="2" t="s">
        <v>813</v>
      </c>
      <c r="S33" s="2" t="s">
        <v>814</v>
      </c>
      <c r="T33" s="3" t="s">
        <v>2723</v>
      </c>
      <c r="V33" s="523"/>
    </row>
    <row r="34" spans="1:41" ht="12.9" customHeight="1" x14ac:dyDescent="0.2">
      <c r="A34" s="10" t="str">
        <f>+'Past Quartets 1st - 3rd Place'!A34</f>
        <v>2004</v>
      </c>
      <c r="B34" s="10">
        <f>+'Past Quartets 1st - 3rd Place'!B34</f>
        <v>23</v>
      </c>
      <c r="C34" s="197" t="s">
        <v>2759</v>
      </c>
      <c r="D34" s="197" t="s">
        <v>2760</v>
      </c>
      <c r="E34" s="7" t="s">
        <v>433</v>
      </c>
      <c r="F34" s="2" t="s">
        <v>1626</v>
      </c>
      <c r="G34" s="2" t="s">
        <v>1627</v>
      </c>
      <c r="H34" s="3" t="s">
        <v>434</v>
      </c>
      <c r="I34" s="405" t="s">
        <v>2145</v>
      </c>
      <c r="J34" s="197" t="s">
        <v>2718</v>
      </c>
      <c r="K34" s="7" t="s">
        <v>812</v>
      </c>
      <c r="L34" s="2" t="s">
        <v>813</v>
      </c>
      <c r="M34" s="2" t="s">
        <v>814</v>
      </c>
      <c r="N34" s="3" t="s">
        <v>2723</v>
      </c>
      <c r="O34" s="405" t="s">
        <v>821</v>
      </c>
      <c r="P34" s="197" t="s">
        <v>579</v>
      </c>
      <c r="Q34" s="2" t="s">
        <v>822</v>
      </c>
      <c r="R34" s="2" t="s">
        <v>823</v>
      </c>
      <c r="S34" s="1" t="s">
        <v>824</v>
      </c>
      <c r="T34" s="3" t="s">
        <v>825</v>
      </c>
    </row>
    <row r="35" spans="1:41" ht="12.9" customHeight="1" x14ac:dyDescent="0.2">
      <c r="A35" s="10">
        <f>+'Past Quartets 1st - 3rd Place'!A35</f>
        <v>2005</v>
      </c>
      <c r="B35" s="10">
        <f>+'Past Quartets 1st - 3rd Place'!B35</f>
        <v>29</v>
      </c>
      <c r="C35" s="504" t="s">
        <v>442</v>
      </c>
      <c r="D35" s="197" t="s">
        <v>443</v>
      </c>
      <c r="E35" s="2" t="s">
        <v>4063</v>
      </c>
      <c r="F35" s="2" t="s">
        <v>3288</v>
      </c>
      <c r="G35" s="1" t="s">
        <v>445</v>
      </c>
      <c r="H35" s="3" t="s">
        <v>446</v>
      </c>
      <c r="I35" s="280" t="s">
        <v>2727</v>
      </c>
      <c r="J35" s="197" t="s">
        <v>2728</v>
      </c>
      <c r="K35" s="2" t="s">
        <v>2793</v>
      </c>
      <c r="L35" s="2" t="s">
        <v>2729</v>
      </c>
      <c r="M35" s="2" t="s">
        <v>2730</v>
      </c>
      <c r="N35" s="3" t="s">
        <v>2731</v>
      </c>
      <c r="O35" s="280" t="s">
        <v>2373</v>
      </c>
      <c r="P35" s="197" t="s">
        <v>4631</v>
      </c>
      <c r="Q35" s="2" t="s">
        <v>3350</v>
      </c>
      <c r="R35" s="2" t="s">
        <v>3351</v>
      </c>
      <c r="S35" s="2" t="s">
        <v>1639</v>
      </c>
      <c r="T35" s="3" t="s">
        <v>1311</v>
      </c>
    </row>
    <row r="36" spans="1:41" ht="12.9" customHeight="1" x14ac:dyDescent="0.2">
      <c r="A36" s="10">
        <f>+'Past Quartets 1st - 3rd Place'!A36</f>
        <v>2006</v>
      </c>
      <c r="B36" s="10">
        <f>+'Past Quartets 1st - 3rd Place'!B36</f>
        <v>27</v>
      </c>
      <c r="C36" s="405" t="s">
        <v>2373</v>
      </c>
      <c r="D36" s="197" t="s">
        <v>2753</v>
      </c>
      <c r="E36" s="2" t="s">
        <v>439</v>
      </c>
      <c r="F36" s="2" t="s">
        <v>2817</v>
      </c>
      <c r="G36" s="2" t="s">
        <v>440</v>
      </c>
      <c r="H36" s="3" t="s">
        <v>2818</v>
      </c>
      <c r="I36" s="405" t="s">
        <v>3352</v>
      </c>
      <c r="J36" s="197" t="s">
        <v>3353</v>
      </c>
      <c r="K36" s="7" t="s">
        <v>433</v>
      </c>
      <c r="L36" s="2" t="s">
        <v>1626</v>
      </c>
      <c r="M36" s="2" t="s">
        <v>3354</v>
      </c>
      <c r="N36" s="3" t="s">
        <v>434</v>
      </c>
      <c r="O36" s="405" t="s">
        <v>826</v>
      </c>
      <c r="P36" s="204" t="s">
        <v>4632</v>
      </c>
      <c r="Q36" s="27" t="s">
        <v>3601</v>
      </c>
      <c r="R36" s="27" t="s">
        <v>228</v>
      </c>
      <c r="S36" s="27" t="s">
        <v>3602</v>
      </c>
      <c r="T36" s="28" t="s">
        <v>252</v>
      </c>
    </row>
    <row r="37" spans="1:41" s="507" customFormat="1" ht="12.9" customHeight="1" x14ac:dyDescent="0.2">
      <c r="A37" s="10">
        <f>+'Past Quartets 1st - 3rd Place'!A37</f>
        <v>2007</v>
      </c>
      <c r="B37" s="10">
        <f>+'Past Quartets 1st - 3rd Place'!B37</f>
        <v>28</v>
      </c>
      <c r="C37" s="280" t="s">
        <v>3603</v>
      </c>
      <c r="D37" s="197" t="s">
        <v>3353</v>
      </c>
      <c r="E37" s="2" t="s">
        <v>433</v>
      </c>
      <c r="F37" s="2" t="s">
        <v>1626</v>
      </c>
      <c r="G37" s="2" t="s">
        <v>3354</v>
      </c>
      <c r="H37" s="3" t="s">
        <v>434</v>
      </c>
      <c r="I37" s="280" t="s">
        <v>3585</v>
      </c>
      <c r="J37" s="197" t="s">
        <v>517</v>
      </c>
      <c r="K37" s="2" t="s">
        <v>819</v>
      </c>
      <c r="L37" s="2" t="s">
        <v>688</v>
      </c>
      <c r="M37" s="2" t="s">
        <v>689</v>
      </c>
      <c r="N37" s="2" t="s">
        <v>3519</v>
      </c>
      <c r="O37" s="197" t="s">
        <v>821</v>
      </c>
      <c r="P37" s="197" t="s">
        <v>579</v>
      </c>
      <c r="Q37" s="2" t="s">
        <v>822</v>
      </c>
      <c r="R37" s="2" t="s">
        <v>823</v>
      </c>
      <c r="S37" s="2" t="s">
        <v>824</v>
      </c>
      <c r="T37" s="3" t="s">
        <v>825</v>
      </c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3"/>
      <c r="AJ37" s="523"/>
      <c r="AK37" s="523"/>
      <c r="AL37" s="523"/>
      <c r="AM37" s="523"/>
      <c r="AN37" s="523"/>
      <c r="AO37" s="523"/>
    </row>
    <row r="38" spans="1:41" s="507" customFormat="1" ht="12.9" customHeight="1" x14ac:dyDescent="0.2">
      <c r="A38" s="10">
        <f>+'Past Quartets 1st - 3rd Place'!A38</f>
        <v>2008</v>
      </c>
      <c r="B38" s="10">
        <f>+'Past Quartets 1st - 3rd Place'!B38</f>
        <v>33</v>
      </c>
      <c r="C38" s="197" t="s">
        <v>3599</v>
      </c>
      <c r="D38" s="197" t="s">
        <v>2668</v>
      </c>
      <c r="E38" s="7" t="s">
        <v>3080</v>
      </c>
      <c r="F38" s="2" t="s">
        <v>3081</v>
      </c>
      <c r="G38" s="2" t="s">
        <v>3602</v>
      </c>
      <c r="H38" s="3" t="s">
        <v>252</v>
      </c>
      <c r="I38" s="280" t="s">
        <v>412</v>
      </c>
      <c r="J38" s="197" t="s">
        <v>4079</v>
      </c>
      <c r="K38" s="2" t="s">
        <v>3086</v>
      </c>
      <c r="L38" s="2" t="s">
        <v>3087</v>
      </c>
      <c r="M38" s="2" t="s">
        <v>3088</v>
      </c>
      <c r="N38" s="2" t="s">
        <v>3089</v>
      </c>
      <c r="O38" s="197" t="s">
        <v>413</v>
      </c>
      <c r="P38" s="197" t="s">
        <v>2134</v>
      </c>
      <c r="Q38" s="2" t="s">
        <v>415</v>
      </c>
      <c r="R38" s="2" t="s">
        <v>416</v>
      </c>
      <c r="S38" s="2" t="s">
        <v>417</v>
      </c>
      <c r="T38" s="3" t="s">
        <v>418</v>
      </c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3"/>
      <c r="AH38" s="523"/>
      <c r="AI38" s="523"/>
      <c r="AJ38" s="523"/>
      <c r="AK38" s="523"/>
      <c r="AL38" s="523"/>
      <c r="AM38" s="523"/>
      <c r="AN38" s="523"/>
      <c r="AO38" s="523"/>
    </row>
    <row r="39" spans="1:41" s="507" customFormat="1" ht="12.9" customHeight="1" x14ac:dyDescent="0.2">
      <c r="A39" s="10">
        <f>+'Past Quartets 1st - 3rd Place'!A39</f>
        <v>2009</v>
      </c>
      <c r="B39" s="10">
        <f>+'Past Quartets 1st - 3rd Place'!B39</f>
        <v>39</v>
      </c>
      <c r="C39" s="197" t="s">
        <v>413</v>
      </c>
      <c r="D39" s="197" t="s">
        <v>414</v>
      </c>
      <c r="E39" s="2" t="s">
        <v>415</v>
      </c>
      <c r="F39" s="2" t="s">
        <v>416</v>
      </c>
      <c r="G39" s="2" t="s">
        <v>417</v>
      </c>
      <c r="H39" s="3" t="s">
        <v>418</v>
      </c>
      <c r="I39" s="197" t="s">
        <v>3599</v>
      </c>
      <c r="J39" s="197" t="s">
        <v>2668</v>
      </c>
      <c r="K39" s="7" t="s">
        <v>3080</v>
      </c>
      <c r="L39" s="2" t="s">
        <v>3081</v>
      </c>
      <c r="M39" s="2" t="s">
        <v>3602</v>
      </c>
      <c r="N39" s="3" t="s">
        <v>252</v>
      </c>
      <c r="O39" s="504" t="s">
        <v>3583</v>
      </c>
      <c r="P39" s="205" t="s">
        <v>2733</v>
      </c>
      <c r="Q39" s="29" t="s">
        <v>3604</v>
      </c>
      <c r="R39" s="27" t="s">
        <v>2332</v>
      </c>
      <c r="S39" s="29" t="s">
        <v>3606</v>
      </c>
      <c r="T39" s="189" t="s">
        <v>3607</v>
      </c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</row>
    <row r="40" spans="1:41" s="507" customFormat="1" ht="12.9" customHeight="1" x14ac:dyDescent="0.2">
      <c r="A40" s="10">
        <f>+'Past Quartets 1st - 3rd Place'!A40</f>
        <v>2010</v>
      </c>
      <c r="B40" s="10">
        <f>+'Past Quartets 1st - 3rd Place'!B40</f>
        <v>42</v>
      </c>
      <c r="C40" s="522" t="s">
        <v>3338</v>
      </c>
      <c r="D40" s="245" t="s">
        <v>3090</v>
      </c>
      <c r="E40" s="2" t="s">
        <v>3091</v>
      </c>
      <c r="F40" s="2" t="s">
        <v>3078</v>
      </c>
      <c r="G40" s="2" t="s">
        <v>3092</v>
      </c>
      <c r="H40" s="2" t="s">
        <v>3093</v>
      </c>
      <c r="I40" s="197" t="s">
        <v>3334</v>
      </c>
      <c r="J40" s="197" t="s">
        <v>4629</v>
      </c>
      <c r="K40" s="2" t="s">
        <v>3340</v>
      </c>
      <c r="L40" s="2" t="s">
        <v>1786</v>
      </c>
      <c r="M40" s="2" t="s">
        <v>3341</v>
      </c>
      <c r="N40" s="2" t="s">
        <v>3342</v>
      </c>
      <c r="O40" s="197" t="s">
        <v>412</v>
      </c>
      <c r="P40" s="197" t="s">
        <v>4079</v>
      </c>
      <c r="Q40" s="2" t="s">
        <v>3086</v>
      </c>
      <c r="R40" s="2" t="s">
        <v>3087</v>
      </c>
      <c r="S40" s="2" t="s">
        <v>3088</v>
      </c>
      <c r="T40" s="3" t="s">
        <v>3514</v>
      </c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</row>
    <row r="41" spans="1:41" s="507" customFormat="1" ht="12.9" customHeight="1" x14ac:dyDescent="0.2">
      <c r="A41" s="10">
        <f>+'Past Quartets 1st - 3rd Place'!A41</f>
        <v>2011</v>
      </c>
      <c r="B41" s="10">
        <f>+'Past Quartets 1st - 3rd Place'!B41</f>
        <v>41</v>
      </c>
      <c r="C41" s="197" t="s">
        <v>3334</v>
      </c>
      <c r="D41" s="197" t="s">
        <v>3339</v>
      </c>
      <c r="E41" s="2" t="s">
        <v>3340</v>
      </c>
      <c r="F41" s="2" t="s">
        <v>1786</v>
      </c>
      <c r="G41" s="2" t="s">
        <v>1627</v>
      </c>
      <c r="H41" s="3" t="s">
        <v>3342</v>
      </c>
      <c r="I41" s="522" t="s">
        <v>1791</v>
      </c>
      <c r="J41" s="245" t="s">
        <v>3580</v>
      </c>
      <c r="K41" s="2" t="s">
        <v>2265</v>
      </c>
      <c r="L41" s="2" t="s">
        <v>2725</v>
      </c>
      <c r="M41" s="2" t="s">
        <v>1659</v>
      </c>
      <c r="N41" s="3" t="s">
        <v>3690</v>
      </c>
      <c r="O41" s="522" t="s">
        <v>778</v>
      </c>
      <c r="P41" s="245" t="s">
        <v>3090</v>
      </c>
      <c r="Q41" s="2" t="s">
        <v>3091</v>
      </c>
      <c r="R41" s="2" t="s">
        <v>3078</v>
      </c>
      <c r="S41" s="2" t="s">
        <v>3092</v>
      </c>
      <c r="T41" s="3" t="s">
        <v>3093</v>
      </c>
      <c r="U41" s="524" t="s">
        <v>647</v>
      </c>
      <c r="V41" s="426" t="s">
        <v>2668</v>
      </c>
      <c r="W41" s="427" t="s">
        <v>2965</v>
      </c>
      <c r="X41" s="415" t="s">
        <v>2966</v>
      </c>
      <c r="Y41" s="415" t="s">
        <v>3367</v>
      </c>
      <c r="Z41" s="416" t="s">
        <v>3368</v>
      </c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</row>
    <row r="42" spans="1:41" s="507" customFormat="1" ht="12.9" customHeight="1" x14ac:dyDescent="0.2">
      <c r="A42" s="10">
        <f>+'Past Quartets 1st - 3rd Place'!A42</f>
        <v>2012</v>
      </c>
      <c r="B42" s="10">
        <f>+'Past Quartets 1st - 3rd Place'!B42</f>
        <v>44</v>
      </c>
      <c r="C42" s="197" t="s">
        <v>412</v>
      </c>
      <c r="D42" s="197" t="s">
        <v>4079</v>
      </c>
      <c r="E42" s="2" t="s">
        <v>3086</v>
      </c>
      <c r="F42" s="2" t="s">
        <v>3087</v>
      </c>
      <c r="G42" s="2" t="s">
        <v>3088</v>
      </c>
      <c r="H42" s="3" t="s">
        <v>3514</v>
      </c>
      <c r="I42" s="197" t="s">
        <v>4017</v>
      </c>
      <c r="J42" s="197" t="s">
        <v>517</v>
      </c>
      <c r="K42" s="2" t="s">
        <v>1243</v>
      </c>
      <c r="L42" s="2" t="s">
        <v>1244</v>
      </c>
      <c r="M42" s="2" t="s">
        <v>1245</v>
      </c>
      <c r="N42" s="2" t="s">
        <v>1246</v>
      </c>
      <c r="O42" s="197" t="s">
        <v>4010</v>
      </c>
      <c r="P42" s="197" t="s">
        <v>2769</v>
      </c>
      <c r="Q42" s="2" t="s">
        <v>1239</v>
      </c>
      <c r="R42" s="2" t="s">
        <v>662</v>
      </c>
      <c r="S42" s="2" t="s">
        <v>133</v>
      </c>
      <c r="T42" s="3" t="s">
        <v>3519</v>
      </c>
      <c r="U42" s="280"/>
      <c r="V42" s="425"/>
      <c r="W42" s="27"/>
      <c r="X42" s="27"/>
      <c r="Y42" s="27"/>
      <c r="Z42" s="27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</row>
    <row r="43" spans="1:41" s="507" customFormat="1" ht="12.9" customHeight="1" x14ac:dyDescent="0.2">
      <c r="A43" s="10">
        <f>+'Past Quartets 1st - 3rd Place'!A43</f>
        <v>2013</v>
      </c>
      <c r="B43" s="10">
        <f>+'Past Quartets 1st - 3rd Place'!B43</f>
        <v>38</v>
      </c>
      <c r="C43" s="197" t="s">
        <v>2699</v>
      </c>
      <c r="D43" s="261" t="s">
        <v>4626</v>
      </c>
      <c r="E43" s="27" t="s">
        <v>2700</v>
      </c>
      <c r="F43" s="27" t="s">
        <v>2701</v>
      </c>
      <c r="G43" s="27" t="s">
        <v>2702</v>
      </c>
      <c r="H43" s="28" t="s">
        <v>2703</v>
      </c>
      <c r="I43" s="197" t="s">
        <v>2692</v>
      </c>
      <c r="J43" s="245" t="s">
        <v>2215</v>
      </c>
      <c r="K43" s="2" t="s">
        <v>2764</v>
      </c>
      <c r="L43" s="2" t="s">
        <v>1180</v>
      </c>
      <c r="M43" s="2" t="s">
        <v>2766</v>
      </c>
      <c r="N43" s="2" t="s">
        <v>2767</v>
      </c>
      <c r="O43" s="197" t="s">
        <v>512</v>
      </c>
      <c r="P43" s="197" t="s">
        <v>511</v>
      </c>
      <c r="Q43" s="7" t="s">
        <v>3086</v>
      </c>
      <c r="R43" s="2" t="s">
        <v>3081</v>
      </c>
      <c r="S43" s="2" t="s">
        <v>2696</v>
      </c>
      <c r="T43" s="3" t="s">
        <v>3563</v>
      </c>
      <c r="U43" s="280"/>
      <c r="V43" s="425"/>
      <c r="W43" s="27"/>
      <c r="X43" s="27"/>
      <c r="Y43" s="27"/>
      <c r="Z43" s="27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</row>
    <row r="44" spans="1:41" s="507" customFormat="1" ht="12.9" customHeight="1" x14ac:dyDescent="0.2">
      <c r="A44" s="10">
        <f>+'Past Quartets 1st - 3rd Place'!A44</f>
        <v>2014</v>
      </c>
      <c r="B44" s="10">
        <f>+'Past Quartets 1st - 3rd Place'!B44</f>
        <v>42</v>
      </c>
      <c r="C44" s="197" t="s">
        <v>2699</v>
      </c>
      <c r="D44" s="261" t="s">
        <v>1008</v>
      </c>
      <c r="E44" s="27" t="s">
        <v>2700</v>
      </c>
      <c r="F44" s="27" t="s">
        <v>2701</v>
      </c>
      <c r="G44" s="27" t="s">
        <v>2702</v>
      </c>
      <c r="H44" s="28" t="s">
        <v>2703</v>
      </c>
      <c r="I44" s="197" t="s">
        <v>2692</v>
      </c>
      <c r="J44" s="245" t="s">
        <v>2215</v>
      </c>
      <c r="K44" s="2" t="s">
        <v>2764</v>
      </c>
      <c r="L44" s="2" t="s">
        <v>1180</v>
      </c>
      <c r="M44" s="2" t="s">
        <v>2766</v>
      </c>
      <c r="N44" s="2" t="s">
        <v>2767</v>
      </c>
      <c r="O44" s="197" t="s">
        <v>512</v>
      </c>
      <c r="P44" s="197" t="s">
        <v>511</v>
      </c>
      <c r="Q44" s="7" t="s">
        <v>3086</v>
      </c>
      <c r="R44" s="2" t="s">
        <v>3081</v>
      </c>
      <c r="S44" s="2" t="s">
        <v>2696</v>
      </c>
      <c r="T44" s="3" t="s">
        <v>3563</v>
      </c>
      <c r="U44" s="280"/>
      <c r="V44" s="425"/>
      <c r="W44" s="27"/>
      <c r="X44" s="27"/>
      <c r="Y44" s="27"/>
      <c r="Z44" s="27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</row>
    <row r="45" spans="1:41" s="507" customFormat="1" ht="12.9" customHeight="1" x14ac:dyDescent="0.2">
      <c r="A45" s="10">
        <f>+'Past Quartets 1st - 3rd Place'!A45</f>
        <v>2015</v>
      </c>
      <c r="B45" s="10">
        <f>+'Past Quartets 1st - 3rd Place'!B45</f>
        <v>48</v>
      </c>
      <c r="C45" s="197" t="s">
        <v>946</v>
      </c>
      <c r="D45" s="245" t="s">
        <v>947</v>
      </c>
      <c r="E45" s="2" t="s">
        <v>3951</v>
      </c>
      <c r="F45" s="2" t="s">
        <v>2894</v>
      </c>
      <c r="G45" s="2" t="s">
        <v>948</v>
      </c>
      <c r="H45" s="2" t="s">
        <v>3351</v>
      </c>
      <c r="I45" s="197" t="s">
        <v>951</v>
      </c>
      <c r="J45" s="197" t="s">
        <v>952</v>
      </c>
      <c r="K45" s="2" t="s">
        <v>1427</v>
      </c>
      <c r="L45" s="2" t="s">
        <v>173</v>
      </c>
      <c r="M45" s="2" t="s">
        <v>457</v>
      </c>
      <c r="N45" s="3" t="s">
        <v>265</v>
      </c>
      <c r="O45" s="197" t="s">
        <v>954</v>
      </c>
      <c r="P45" s="197" t="s">
        <v>4079</v>
      </c>
      <c r="Q45" s="2" t="s">
        <v>1303</v>
      </c>
      <c r="R45" s="2" t="s">
        <v>955</v>
      </c>
      <c r="S45" s="2" t="s">
        <v>3271</v>
      </c>
      <c r="T45" s="3" t="s">
        <v>2968</v>
      </c>
      <c r="U45" s="280"/>
      <c r="V45" s="425"/>
      <c r="W45" s="27"/>
      <c r="X45" s="27"/>
      <c r="Y45" s="27"/>
      <c r="Z45" s="27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</row>
    <row r="46" spans="1:41" s="507" customFormat="1" ht="12.9" customHeight="1" x14ac:dyDescent="0.2">
      <c r="A46" s="10">
        <f>+'Past Quartets 1st - 3rd Place'!A46</f>
        <v>2016</v>
      </c>
      <c r="B46" s="10">
        <f>+'Past Quartets 1st - 3rd Place'!B46</f>
        <v>29</v>
      </c>
      <c r="C46" s="197" t="s">
        <v>1083</v>
      </c>
      <c r="D46" s="245" t="s">
        <v>1084</v>
      </c>
      <c r="E46" s="2" t="s">
        <v>921</v>
      </c>
      <c r="F46" s="2" t="s">
        <v>2729</v>
      </c>
      <c r="G46" s="2" t="s">
        <v>2696</v>
      </c>
      <c r="H46" s="2" t="s">
        <v>1242</v>
      </c>
      <c r="I46" s="197" t="s">
        <v>1092</v>
      </c>
      <c r="J46" s="197" t="s">
        <v>4627</v>
      </c>
      <c r="K46" s="2" t="s">
        <v>1093</v>
      </c>
      <c r="L46" s="2" t="s">
        <v>1291</v>
      </c>
      <c r="M46" s="2" t="s">
        <v>1094</v>
      </c>
      <c r="N46" s="2" t="s">
        <v>81</v>
      </c>
      <c r="O46" s="197" t="s">
        <v>1086</v>
      </c>
      <c r="P46" s="197" t="s">
        <v>593</v>
      </c>
      <c r="Q46" s="2" t="s">
        <v>940</v>
      </c>
      <c r="R46" s="2" t="s">
        <v>941</v>
      </c>
      <c r="S46" s="2" t="s">
        <v>1087</v>
      </c>
      <c r="T46" s="3" t="s">
        <v>1088</v>
      </c>
      <c r="U46" s="280"/>
      <c r="V46" s="425"/>
      <c r="W46" s="27"/>
      <c r="X46" s="27"/>
      <c r="Y46" s="27"/>
      <c r="Z46" s="27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</row>
    <row r="47" spans="1:41" s="507" customFormat="1" ht="12.9" customHeight="1" x14ac:dyDescent="0.2">
      <c r="A47" s="10">
        <f>+'Past Quartets 1st - 3rd Place'!A47</f>
        <v>2017</v>
      </c>
      <c r="B47" s="10">
        <f>+'Past Quartets 1st - 3rd Place'!B47</f>
        <v>38</v>
      </c>
      <c r="C47" s="197" t="s">
        <v>4327</v>
      </c>
      <c r="D47" s="197" t="s">
        <v>4596</v>
      </c>
      <c r="E47" s="2" t="s">
        <v>458</v>
      </c>
      <c r="F47" s="2" t="s">
        <v>1301</v>
      </c>
      <c r="G47" s="2" t="s">
        <v>74</v>
      </c>
      <c r="H47" s="3" t="s">
        <v>4328</v>
      </c>
      <c r="I47" s="197" t="s">
        <v>954</v>
      </c>
      <c r="J47" s="197" t="s">
        <v>4079</v>
      </c>
      <c r="K47" s="2" t="s">
        <v>1303</v>
      </c>
      <c r="L47" s="2" t="s">
        <v>955</v>
      </c>
      <c r="M47" s="2" t="s">
        <v>3271</v>
      </c>
      <c r="N47" s="3" t="s">
        <v>2968</v>
      </c>
      <c r="O47" s="197" t="s">
        <v>1092</v>
      </c>
      <c r="P47" s="197" t="s">
        <v>4560</v>
      </c>
      <c r="Q47" s="2" t="s">
        <v>1093</v>
      </c>
      <c r="R47" s="2" t="s">
        <v>1291</v>
      </c>
      <c r="S47" s="2" t="s">
        <v>1094</v>
      </c>
      <c r="T47" s="3" t="s">
        <v>81</v>
      </c>
      <c r="U47" s="280"/>
      <c r="V47" s="425"/>
      <c r="W47" s="27"/>
      <c r="X47" s="27"/>
      <c r="Y47" s="27"/>
      <c r="Z47" s="27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</row>
    <row r="48" spans="1:41" s="507" customFormat="1" ht="12.9" customHeight="1" x14ac:dyDescent="0.2">
      <c r="A48" s="10">
        <f>+'Past Quartets 1st - 3rd Place'!A48</f>
        <v>2018</v>
      </c>
      <c r="B48" s="10">
        <f>+'Past Quartets 1st - 3rd Place'!B48</f>
        <v>31</v>
      </c>
      <c r="C48" s="197" t="s">
        <v>4327</v>
      </c>
      <c r="D48" s="197" t="s">
        <v>4596</v>
      </c>
      <c r="E48" s="2" t="s">
        <v>458</v>
      </c>
      <c r="F48" s="2" t="s">
        <v>1301</v>
      </c>
      <c r="G48" s="2" t="s">
        <v>74</v>
      </c>
      <c r="H48" s="3" t="s">
        <v>457</v>
      </c>
      <c r="I48" s="197" t="s">
        <v>4521</v>
      </c>
      <c r="J48" s="197" t="s">
        <v>4628</v>
      </c>
      <c r="K48" s="2" t="s">
        <v>4522</v>
      </c>
      <c r="L48" s="2" t="s">
        <v>4523</v>
      </c>
      <c r="M48" s="2" t="s">
        <v>4335</v>
      </c>
      <c r="N48" s="2" t="s">
        <v>4524</v>
      </c>
      <c r="O48" s="197" t="s">
        <v>1092</v>
      </c>
      <c r="P48" s="197" t="s">
        <v>4598</v>
      </c>
      <c r="Q48" s="2" t="s">
        <v>1093</v>
      </c>
      <c r="R48" s="2" t="s">
        <v>1291</v>
      </c>
      <c r="S48" s="2" t="s">
        <v>1094</v>
      </c>
      <c r="T48" s="3" t="s">
        <v>81</v>
      </c>
      <c r="U48" s="280"/>
      <c r="V48" s="425"/>
      <c r="W48" s="27"/>
      <c r="X48" s="27"/>
      <c r="Y48" s="27"/>
      <c r="Z48" s="27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</row>
    <row r="49" spans="1:41" s="507" customFormat="1" ht="12.9" customHeight="1" x14ac:dyDescent="0.2">
      <c r="A49" s="10">
        <f>+'Past Quartets 1st - 3rd Place'!A49</f>
        <v>2019</v>
      </c>
      <c r="B49" s="10">
        <f>+'Past Quartets 1st - 3rd Place'!B49</f>
        <v>36</v>
      </c>
      <c r="C49" s="197" t="s">
        <v>4659</v>
      </c>
      <c r="D49" s="245" t="s">
        <v>4703</v>
      </c>
      <c r="E49" s="2" t="s">
        <v>4660</v>
      </c>
      <c r="F49" s="2" t="s">
        <v>4339</v>
      </c>
      <c r="G49" s="2" t="s">
        <v>2144</v>
      </c>
      <c r="H49" s="2" t="s">
        <v>4661</v>
      </c>
      <c r="I49" s="197" t="s">
        <v>4662</v>
      </c>
      <c r="J49" s="245" t="s">
        <v>4704</v>
      </c>
      <c r="K49" s="2" t="s">
        <v>3283</v>
      </c>
      <c r="L49" s="2" t="s">
        <v>4663</v>
      </c>
      <c r="M49" s="2" t="s">
        <v>440</v>
      </c>
      <c r="N49" s="2" t="s">
        <v>990</v>
      </c>
      <c r="O49" s="197" t="s">
        <v>4664</v>
      </c>
      <c r="P49" s="197" t="s">
        <v>593</v>
      </c>
      <c r="Q49" s="2" t="s">
        <v>4665</v>
      </c>
      <c r="R49" s="2" t="s">
        <v>4666</v>
      </c>
      <c r="S49" s="2" t="s">
        <v>4667</v>
      </c>
      <c r="T49" s="3" t="s">
        <v>4668</v>
      </c>
      <c r="U49" s="280"/>
      <c r="V49" s="425"/>
      <c r="W49" s="27"/>
      <c r="X49" s="27"/>
      <c r="Y49" s="27"/>
      <c r="Z49" s="27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</row>
    <row r="50" spans="1:41" s="507" customFormat="1" ht="12.9" customHeight="1" x14ac:dyDescent="0.2">
      <c r="A50" s="496"/>
      <c r="B50" s="496"/>
      <c r="C50" s="498"/>
      <c r="D50" s="198"/>
      <c r="E50" s="4"/>
      <c r="F50" s="4"/>
      <c r="G50" s="4"/>
      <c r="H50" s="5"/>
      <c r="I50" s="498"/>
      <c r="J50" s="198"/>
      <c r="K50" s="4"/>
      <c r="L50" s="4"/>
      <c r="M50" s="4"/>
      <c r="N50" s="4"/>
      <c r="O50" s="198"/>
      <c r="P50" s="198"/>
      <c r="Q50" s="4"/>
      <c r="R50" s="4"/>
      <c r="S50" s="4"/>
      <c r="T50" s="5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</row>
    <row r="51" spans="1:41" s="507" customFormat="1" ht="12.9" customHeight="1" x14ac:dyDescent="0.2">
      <c r="A51" s="2"/>
      <c r="B51" s="2"/>
      <c r="C51" s="280"/>
      <c r="D51" s="280"/>
      <c r="E51" s="2"/>
      <c r="F51" s="2"/>
      <c r="G51" s="2"/>
      <c r="H51" s="2"/>
      <c r="I51" s="280"/>
      <c r="J51" s="280"/>
      <c r="K51" s="2"/>
      <c r="L51" s="2"/>
      <c r="M51" s="2"/>
      <c r="N51" s="2"/>
      <c r="O51" s="495" t="s">
        <v>3380</v>
      </c>
      <c r="P51" s="280"/>
      <c r="Q51" s="2"/>
      <c r="R51" s="2"/>
      <c r="S51" s="2"/>
      <c r="T51" s="2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</row>
    <row r="52" spans="1:41" s="507" customFormat="1" ht="12.9" customHeight="1" x14ac:dyDescent="0.2">
      <c r="A52" s="2"/>
      <c r="B52" s="2"/>
      <c r="I52" s="280"/>
      <c r="J52" s="280"/>
      <c r="K52" s="2"/>
      <c r="L52" s="2"/>
      <c r="M52" s="2"/>
      <c r="N52" s="2"/>
      <c r="O52" s="280"/>
      <c r="P52" s="280"/>
      <c r="Q52" s="2"/>
      <c r="R52" s="2"/>
      <c r="S52" s="2"/>
      <c r="T52" s="2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</row>
    <row r="53" spans="1:41" s="507" customFormat="1" ht="12.9" customHeight="1" x14ac:dyDescent="0.2">
      <c r="A53" s="2"/>
      <c r="B53" s="2"/>
      <c r="I53" s="280"/>
      <c r="J53" s="280"/>
      <c r="K53" s="2"/>
      <c r="L53" s="2"/>
      <c r="M53" s="2"/>
      <c r="N53" s="2"/>
      <c r="O53" s="280"/>
      <c r="P53" s="280"/>
      <c r="Q53" s="2"/>
      <c r="R53" s="2"/>
      <c r="S53" s="2"/>
      <c r="T53" s="2"/>
    </row>
    <row r="54" spans="1:41" s="507" customFormat="1" ht="12.9" customHeight="1" x14ac:dyDescent="0.2">
      <c r="A54" s="2"/>
      <c r="B54" s="2"/>
      <c r="C54" s="280"/>
      <c r="D54" s="280"/>
      <c r="E54" s="2"/>
      <c r="F54" s="2"/>
      <c r="G54" s="2"/>
      <c r="H54" s="2"/>
      <c r="I54" s="280"/>
      <c r="J54" s="280"/>
      <c r="K54" s="2"/>
      <c r="L54" s="2"/>
      <c r="M54" s="2"/>
      <c r="N54" s="2"/>
      <c r="O54" s="280"/>
      <c r="P54" s="280"/>
      <c r="Q54" s="2"/>
      <c r="R54" s="2"/>
      <c r="S54" s="2"/>
      <c r="T54" s="2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</row>
    <row r="55" spans="1:41" s="507" customFormat="1" ht="12.9" customHeight="1" x14ac:dyDescent="0.2">
      <c r="A55" s="2"/>
      <c r="B55" s="2"/>
      <c r="C55" s="280"/>
      <c r="D55" s="280"/>
      <c r="E55" s="2"/>
      <c r="F55" s="2"/>
      <c r="G55" s="2"/>
      <c r="H55" s="2"/>
      <c r="I55" s="280"/>
      <c r="J55" s="280"/>
      <c r="K55" s="2"/>
      <c r="L55" s="2"/>
      <c r="M55" s="2"/>
      <c r="N55" s="2"/>
      <c r="O55" s="280"/>
      <c r="P55" s="280"/>
      <c r="Q55" s="2"/>
      <c r="R55" s="2"/>
      <c r="S55" s="2"/>
      <c r="T55" s="2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</row>
    <row r="56" spans="1:41" s="507" customFormat="1" ht="12.9" customHeight="1" x14ac:dyDescent="0.2">
      <c r="A56" s="2"/>
      <c r="B56" s="2"/>
      <c r="C56" s="280"/>
      <c r="D56" s="280"/>
      <c r="E56" s="2"/>
      <c r="F56" s="2"/>
      <c r="G56" s="2"/>
      <c r="H56" s="2"/>
      <c r="I56" s="280"/>
      <c r="J56" s="280"/>
      <c r="K56" s="2"/>
      <c r="L56" s="2"/>
      <c r="M56" s="2"/>
      <c r="N56" s="2"/>
      <c r="O56" s="280"/>
      <c r="P56" s="280"/>
      <c r="Q56" s="2"/>
      <c r="R56" s="2"/>
      <c r="S56" s="2"/>
      <c r="T56" s="2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3"/>
    </row>
    <row r="57" spans="1:41" s="507" customFormat="1" ht="12.9" customHeight="1" x14ac:dyDescent="0.2">
      <c r="A57" s="2"/>
      <c r="B57" s="2"/>
      <c r="C57" s="280"/>
      <c r="D57" s="280"/>
      <c r="E57" s="2"/>
      <c r="F57" s="2"/>
      <c r="G57" s="2"/>
      <c r="H57" s="2"/>
      <c r="I57" s="280"/>
      <c r="J57" s="280"/>
      <c r="K57" s="2"/>
      <c r="L57" s="2"/>
      <c r="M57" s="2"/>
      <c r="N57" s="2"/>
      <c r="O57" s="280"/>
      <c r="P57" s="280"/>
      <c r="Q57" s="2"/>
      <c r="R57" s="2"/>
      <c r="S57" s="2"/>
      <c r="T57" s="2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</row>
    <row r="58" spans="1:41" s="507" customFormat="1" ht="12.9" customHeight="1" x14ac:dyDescent="0.2">
      <c r="A58" s="2"/>
      <c r="B58" s="2"/>
      <c r="C58" s="280"/>
      <c r="D58" s="280"/>
      <c r="E58" s="2"/>
      <c r="F58" s="2"/>
      <c r="G58" s="2"/>
      <c r="H58" s="2"/>
      <c r="I58" s="280"/>
      <c r="J58" s="280"/>
      <c r="K58" s="2"/>
      <c r="L58" s="2"/>
      <c r="M58" s="2"/>
      <c r="N58" s="2"/>
      <c r="O58" s="280"/>
      <c r="P58" s="280"/>
      <c r="Q58" s="2"/>
      <c r="R58" s="2"/>
      <c r="S58" s="2"/>
      <c r="T58" s="2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3"/>
    </row>
    <row r="59" spans="1:41" s="507" customFormat="1" ht="12.9" customHeight="1" x14ac:dyDescent="0.2">
      <c r="A59" s="2"/>
      <c r="B59" s="2"/>
      <c r="C59" s="280"/>
      <c r="D59" s="280"/>
      <c r="E59" s="2"/>
      <c r="F59" s="2"/>
      <c r="G59" s="2"/>
      <c r="H59" s="2"/>
      <c r="I59" s="280"/>
      <c r="J59" s="280"/>
      <c r="K59" s="2"/>
      <c r="L59" s="2"/>
      <c r="M59" s="2"/>
      <c r="N59" s="2"/>
      <c r="O59" s="280"/>
      <c r="P59" s="280"/>
      <c r="Q59" s="2"/>
      <c r="R59" s="2"/>
      <c r="S59" s="2"/>
      <c r="T59" s="2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  <c r="AH59" s="523"/>
      <c r="AI59" s="523"/>
      <c r="AJ59" s="523"/>
      <c r="AK59" s="523"/>
      <c r="AL59" s="523"/>
      <c r="AM59" s="523"/>
      <c r="AN59" s="523"/>
      <c r="AO59" s="523"/>
    </row>
    <row r="60" spans="1:41" s="507" customFormat="1" ht="12.9" customHeight="1" x14ac:dyDescent="0.2">
      <c r="A60" s="2"/>
      <c r="B60" s="2"/>
      <c r="C60" s="280"/>
      <c r="D60" s="280"/>
      <c r="E60" s="2"/>
      <c r="F60" s="2"/>
      <c r="G60" s="2"/>
      <c r="H60" s="2"/>
      <c r="I60" s="280"/>
      <c r="J60" s="280"/>
      <c r="K60" s="2"/>
      <c r="L60" s="2"/>
      <c r="M60" s="2"/>
      <c r="N60" s="2"/>
      <c r="O60" s="280"/>
      <c r="P60" s="280"/>
      <c r="Q60" s="2"/>
      <c r="R60" s="2"/>
      <c r="S60" s="2"/>
      <c r="T60" s="2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</row>
    <row r="61" spans="1:41" s="507" customFormat="1" ht="12.9" customHeight="1" x14ac:dyDescent="0.2">
      <c r="A61" s="2"/>
      <c r="B61" s="2"/>
      <c r="C61" s="280"/>
      <c r="D61" s="280"/>
      <c r="E61" s="2"/>
      <c r="F61" s="2"/>
      <c r="G61" s="2"/>
      <c r="H61" s="2"/>
      <c r="I61" s="280"/>
      <c r="J61" s="280"/>
      <c r="K61" s="2"/>
      <c r="L61" s="2"/>
      <c r="M61" s="2"/>
      <c r="N61" s="2"/>
      <c r="O61" s="280"/>
      <c r="P61" s="280"/>
      <c r="Q61" s="2"/>
      <c r="R61" s="2"/>
      <c r="S61" s="2"/>
      <c r="T61" s="2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  <c r="AH61" s="523"/>
      <c r="AI61" s="523"/>
      <c r="AJ61" s="523"/>
      <c r="AK61" s="523"/>
      <c r="AL61" s="523"/>
      <c r="AM61" s="523"/>
      <c r="AN61" s="523"/>
      <c r="AO61" s="523"/>
    </row>
    <row r="62" spans="1:41" s="507" customFormat="1" ht="12.9" customHeight="1" x14ac:dyDescent="0.2">
      <c r="A62" s="2"/>
      <c r="B62" s="2"/>
      <c r="C62" s="280"/>
      <c r="D62" s="280"/>
      <c r="E62" s="2"/>
      <c r="F62" s="2"/>
      <c r="G62" s="2"/>
      <c r="H62" s="2"/>
      <c r="I62" s="280"/>
      <c r="J62" s="280"/>
      <c r="K62" s="2"/>
      <c r="L62" s="2"/>
      <c r="M62" s="2"/>
      <c r="N62" s="2"/>
      <c r="O62" s="280"/>
      <c r="P62" s="280"/>
      <c r="Q62" s="2"/>
      <c r="R62" s="2"/>
      <c r="S62" s="2"/>
      <c r="T62" s="2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523"/>
      <c r="AN62" s="523"/>
      <c r="AO62" s="523"/>
    </row>
    <row r="63" spans="1:41" s="507" customFormat="1" ht="12.9" customHeight="1" x14ac:dyDescent="0.2">
      <c r="A63" s="2"/>
      <c r="B63" s="2"/>
      <c r="C63" s="280"/>
      <c r="D63" s="280"/>
      <c r="E63" s="2"/>
      <c r="F63" s="2"/>
      <c r="G63" s="2"/>
      <c r="H63" s="2"/>
      <c r="I63" s="280"/>
      <c r="J63" s="280"/>
      <c r="K63" s="2"/>
      <c r="L63" s="2"/>
      <c r="M63" s="2"/>
      <c r="N63" s="2"/>
      <c r="O63" s="280"/>
      <c r="P63" s="280"/>
      <c r="Q63" s="2"/>
      <c r="R63" s="2"/>
      <c r="S63" s="2"/>
      <c r="T63" s="2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</row>
    <row r="64" spans="1:41" s="507" customFormat="1" ht="12.9" customHeight="1" x14ac:dyDescent="0.2">
      <c r="A64" s="2"/>
      <c r="B64" s="2"/>
      <c r="C64" s="280"/>
      <c r="D64" s="280"/>
      <c r="E64" s="2"/>
      <c r="F64" s="2"/>
      <c r="G64" s="2"/>
      <c r="H64" s="2"/>
      <c r="I64" s="280"/>
      <c r="J64" s="280"/>
      <c r="K64" s="2"/>
      <c r="L64" s="2"/>
      <c r="M64" s="2"/>
      <c r="N64" s="2"/>
      <c r="O64" s="280"/>
      <c r="P64" s="280"/>
      <c r="Q64" s="2"/>
      <c r="R64" s="2"/>
      <c r="S64" s="2"/>
      <c r="T64" s="2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</row>
    <row r="65" spans="1:41" s="507" customFormat="1" ht="12.9" customHeight="1" x14ac:dyDescent="0.2">
      <c r="A65" s="2"/>
      <c r="B65" s="2"/>
      <c r="C65" s="280"/>
      <c r="D65" s="280"/>
      <c r="E65" s="2"/>
      <c r="F65" s="2"/>
      <c r="G65" s="2"/>
      <c r="H65" s="2"/>
      <c r="I65" s="280"/>
      <c r="J65" s="280"/>
      <c r="K65" s="2"/>
      <c r="L65" s="2"/>
      <c r="M65" s="2"/>
      <c r="N65" s="2"/>
      <c r="O65" s="280"/>
      <c r="P65" s="280"/>
      <c r="Q65" s="2"/>
      <c r="R65" s="2"/>
      <c r="S65" s="2"/>
      <c r="T65" s="2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</row>
    <row r="66" spans="1:41" s="507" customFormat="1" ht="12.9" customHeight="1" x14ac:dyDescent="0.2">
      <c r="A66" s="2"/>
      <c r="B66" s="2"/>
      <c r="C66" s="280"/>
      <c r="D66" s="280"/>
      <c r="E66" s="2"/>
      <c r="F66" s="2"/>
      <c r="G66" s="2"/>
      <c r="H66" s="2"/>
      <c r="I66" s="280"/>
      <c r="J66" s="280"/>
      <c r="K66" s="2"/>
      <c r="L66" s="2"/>
      <c r="M66" s="2"/>
      <c r="N66" s="2"/>
      <c r="O66" s="280"/>
      <c r="P66" s="280"/>
      <c r="Q66" s="2"/>
      <c r="R66" s="2"/>
      <c r="S66" s="2"/>
      <c r="T66" s="2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  <c r="AH66" s="523"/>
      <c r="AI66" s="523"/>
      <c r="AJ66" s="523"/>
      <c r="AK66" s="523"/>
      <c r="AL66" s="523"/>
      <c r="AM66" s="523"/>
      <c r="AN66" s="523"/>
      <c r="AO66" s="523"/>
    </row>
    <row r="67" spans="1:41" s="507" customFormat="1" ht="12.9" customHeight="1" x14ac:dyDescent="0.2">
      <c r="A67" s="2"/>
      <c r="B67" s="2"/>
      <c r="C67" s="280"/>
      <c r="D67" s="280"/>
      <c r="E67" s="2"/>
      <c r="F67" s="2"/>
      <c r="G67" s="2"/>
      <c r="H67" s="2"/>
      <c r="I67" s="280"/>
      <c r="J67" s="280"/>
      <c r="K67" s="2"/>
      <c r="L67" s="2"/>
      <c r="M67" s="2"/>
      <c r="N67" s="2"/>
      <c r="O67" s="280"/>
      <c r="P67" s="280"/>
      <c r="Q67" s="2"/>
      <c r="R67" s="2"/>
      <c r="S67" s="2"/>
      <c r="T67" s="2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523"/>
      <c r="AN67" s="523"/>
      <c r="AO67" s="523"/>
    </row>
    <row r="68" spans="1:41" s="507" customFormat="1" ht="12.9" customHeight="1" x14ac:dyDescent="0.2">
      <c r="A68" s="2"/>
      <c r="B68" s="2"/>
      <c r="C68" s="280"/>
      <c r="D68" s="280"/>
      <c r="E68" s="2"/>
      <c r="F68" s="2"/>
      <c r="G68" s="2"/>
      <c r="H68" s="2"/>
      <c r="I68" s="280"/>
      <c r="J68" s="280"/>
      <c r="K68" s="2"/>
      <c r="L68" s="2"/>
      <c r="M68" s="2"/>
      <c r="N68" s="2"/>
      <c r="O68" s="280"/>
      <c r="P68" s="280"/>
      <c r="Q68" s="2"/>
      <c r="R68" s="2"/>
      <c r="S68" s="2"/>
      <c r="T68" s="2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  <c r="AH68" s="523"/>
      <c r="AI68" s="523"/>
      <c r="AJ68" s="523"/>
      <c r="AK68" s="523"/>
      <c r="AL68" s="523"/>
      <c r="AM68" s="523"/>
      <c r="AN68" s="523"/>
      <c r="AO68" s="523"/>
    </row>
    <row r="69" spans="1:41" s="507" customFormat="1" ht="12.9" customHeight="1" x14ac:dyDescent="0.2">
      <c r="A69" s="2"/>
      <c r="B69" s="2"/>
      <c r="C69" s="280"/>
      <c r="D69" s="280"/>
      <c r="E69" s="2"/>
      <c r="F69" s="2"/>
      <c r="G69" s="2"/>
      <c r="H69" s="2"/>
      <c r="I69" s="280"/>
      <c r="J69" s="280"/>
      <c r="K69" s="2"/>
      <c r="L69" s="2"/>
      <c r="M69" s="2"/>
      <c r="N69" s="2"/>
      <c r="O69" s="280"/>
      <c r="P69" s="280"/>
      <c r="Q69" s="2"/>
      <c r="R69" s="2"/>
      <c r="S69" s="2"/>
      <c r="T69" s="2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  <c r="AH69" s="523"/>
      <c r="AI69" s="523"/>
      <c r="AJ69" s="523"/>
      <c r="AK69" s="523"/>
      <c r="AL69" s="523"/>
      <c r="AM69" s="523"/>
      <c r="AN69" s="523"/>
      <c r="AO69" s="523"/>
    </row>
    <row r="70" spans="1:41" s="507" customFormat="1" ht="12.9" customHeight="1" x14ac:dyDescent="0.2">
      <c r="A70" s="2"/>
      <c r="B70" s="2"/>
      <c r="C70" s="280"/>
      <c r="D70" s="280"/>
      <c r="E70" s="2"/>
      <c r="F70" s="2"/>
      <c r="G70" s="2"/>
      <c r="H70" s="2"/>
      <c r="I70" s="280"/>
      <c r="J70" s="280"/>
      <c r="K70" s="2"/>
      <c r="L70" s="2"/>
      <c r="M70" s="2"/>
      <c r="N70" s="2"/>
      <c r="O70" s="280"/>
      <c r="P70" s="280"/>
      <c r="Q70" s="2"/>
      <c r="R70" s="2"/>
      <c r="S70" s="2"/>
      <c r="T70" s="2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523"/>
      <c r="AN70" s="523"/>
      <c r="AO70" s="523"/>
    </row>
    <row r="71" spans="1:41" s="507" customFormat="1" ht="12.9" customHeight="1" x14ac:dyDescent="0.2">
      <c r="A71" s="2"/>
      <c r="B71" s="2"/>
      <c r="C71" s="280"/>
      <c r="D71" s="280"/>
      <c r="E71" s="2"/>
      <c r="F71" s="2"/>
      <c r="G71" s="2"/>
      <c r="H71" s="2"/>
      <c r="I71" s="280"/>
      <c r="J71" s="280"/>
      <c r="K71" s="2"/>
      <c r="L71" s="2"/>
      <c r="M71" s="2"/>
      <c r="N71" s="2"/>
      <c r="O71" s="280"/>
      <c r="P71" s="280"/>
      <c r="Q71" s="2"/>
      <c r="R71" s="2"/>
      <c r="S71" s="2"/>
      <c r="T71" s="2"/>
      <c r="V71" s="523"/>
      <c r="W71" s="523"/>
      <c r="X71" s="523"/>
      <c r="Y71" s="523"/>
      <c r="Z71" s="523"/>
      <c r="AA71" s="523"/>
      <c r="AB71" s="523"/>
      <c r="AC71" s="523"/>
      <c r="AD71" s="523"/>
      <c r="AE71" s="523"/>
      <c r="AF71" s="523"/>
      <c r="AG71" s="523"/>
      <c r="AH71" s="523"/>
      <c r="AI71" s="523"/>
      <c r="AJ71" s="523"/>
      <c r="AK71" s="523"/>
      <c r="AL71" s="523"/>
      <c r="AM71" s="523"/>
      <c r="AN71" s="523"/>
      <c r="AO71" s="523"/>
    </row>
    <row r="72" spans="1:41" s="507" customFormat="1" ht="12.9" customHeight="1" x14ac:dyDescent="0.2">
      <c r="A72" s="2"/>
      <c r="B72" s="2"/>
      <c r="C72" s="280"/>
      <c r="D72" s="280"/>
      <c r="E72" s="2"/>
      <c r="F72" s="2"/>
      <c r="G72" s="2"/>
      <c r="H72" s="2"/>
      <c r="I72" s="280"/>
      <c r="J72" s="280"/>
      <c r="K72" s="2"/>
      <c r="L72" s="2"/>
      <c r="M72" s="2"/>
      <c r="N72" s="2"/>
      <c r="O72" s="280"/>
      <c r="P72" s="280"/>
      <c r="Q72" s="2"/>
      <c r="R72" s="2"/>
      <c r="S72" s="2"/>
      <c r="T72" s="2"/>
      <c r="V72" s="523"/>
      <c r="W72" s="523"/>
      <c r="X72" s="523"/>
      <c r="Y72" s="523"/>
      <c r="Z72" s="523"/>
      <c r="AA72" s="523"/>
      <c r="AB72" s="523"/>
      <c r="AC72" s="523"/>
      <c r="AD72" s="523"/>
      <c r="AE72" s="523"/>
      <c r="AF72" s="523"/>
      <c r="AG72" s="523"/>
      <c r="AH72" s="523"/>
      <c r="AI72" s="523"/>
      <c r="AJ72" s="523"/>
      <c r="AK72" s="523"/>
      <c r="AL72" s="523"/>
      <c r="AM72" s="523"/>
      <c r="AN72" s="523"/>
      <c r="AO72" s="523"/>
    </row>
    <row r="73" spans="1:41" s="507" customFormat="1" ht="12.9" customHeight="1" x14ac:dyDescent="0.2">
      <c r="A73" s="2"/>
      <c r="B73" s="2"/>
      <c r="C73" s="280"/>
      <c r="D73" s="280"/>
      <c r="E73" s="2"/>
      <c r="F73" s="2"/>
      <c r="G73" s="2"/>
      <c r="H73" s="2"/>
      <c r="I73" s="280"/>
      <c r="J73" s="280"/>
      <c r="K73" s="2"/>
      <c r="L73" s="2"/>
      <c r="M73" s="2"/>
      <c r="N73" s="2"/>
      <c r="O73" s="280"/>
      <c r="P73" s="280"/>
      <c r="Q73" s="2"/>
      <c r="R73" s="2"/>
      <c r="S73" s="2"/>
      <c r="T73" s="2"/>
      <c r="V73" s="523"/>
      <c r="W73" s="523"/>
      <c r="X73" s="523"/>
      <c r="Y73" s="523"/>
      <c r="Z73" s="523"/>
      <c r="AA73" s="523"/>
      <c r="AB73" s="523"/>
      <c r="AC73" s="523"/>
      <c r="AD73" s="523"/>
      <c r="AE73" s="523"/>
      <c r="AF73" s="523"/>
      <c r="AG73" s="523"/>
      <c r="AH73" s="523"/>
      <c r="AI73" s="523"/>
      <c r="AJ73" s="523"/>
      <c r="AK73" s="523"/>
      <c r="AL73" s="523"/>
      <c r="AM73" s="523"/>
      <c r="AN73" s="523"/>
      <c r="AO73" s="523"/>
    </row>
    <row r="74" spans="1:41" ht="12.9" customHeight="1" x14ac:dyDescent="0.2">
      <c r="M74" s="2"/>
    </row>
    <row r="75" spans="1:41" ht="12.9" customHeight="1" x14ac:dyDescent="0.2">
      <c r="A75" s="509" t="s">
        <v>2012</v>
      </c>
      <c r="B75" s="494"/>
      <c r="C75" s="675" t="s">
        <v>283</v>
      </c>
      <c r="D75" s="676"/>
      <c r="E75" s="676"/>
      <c r="F75" s="676"/>
      <c r="G75" s="676"/>
      <c r="H75" s="677"/>
      <c r="I75" s="675" t="s">
        <v>284</v>
      </c>
      <c r="J75" s="676"/>
      <c r="K75" s="676"/>
      <c r="L75" s="676"/>
      <c r="M75" s="676"/>
      <c r="N75" s="677"/>
      <c r="O75" s="675" t="s">
        <v>285</v>
      </c>
      <c r="P75" s="676"/>
      <c r="Q75" s="676"/>
      <c r="R75" s="676"/>
      <c r="S75" s="676"/>
      <c r="T75" s="677"/>
    </row>
    <row r="76" spans="1:41" ht="12.9" customHeight="1" x14ac:dyDescent="0.2">
      <c r="A76" s="510" t="s">
        <v>2263</v>
      </c>
      <c r="B76" s="9"/>
      <c r="D76" s="498"/>
      <c r="E76" s="4" t="s">
        <v>2017</v>
      </c>
      <c r="F76" s="4" t="s">
        <v>2018</v>
      </c>
      <c r="G76" s="4" t="s">
        <v>2019</v>
      </c>
      <c r="H76" s="5" t="s">
        <v>2020</v>
      </c>
      <c r="I76" s="497"/>
      <c r="J76" s="498"/>
      <c r="K76" s="4" t="s">
        <v>2017</v>
      </c>
      <c r="L76" s="4" t="s">
        <v>2018</v>
      </c>
      <c r="M76" s="4" t="s">
        <v>2019</v>
      </c>
      <c r="N76" s="5" t="s">
        <v>2020</v>
      </c>
      <c r="O76" s="497"/>
      <c r="P76" s="498"/>
      <c r="Q76" s="4" t="s">
        <v>2017</v>
      </c>
      <c r="R76" s="4" t="s">
        <v>2018</v>
      </c>
      <c r="S76" s="4" t="s">
        <v>2019</v>
      </c>
      <c r="T76" s="5" t="s">
        <v>2020</v>
      </c>
    </row>
    <row r="77" spans="1:41" ht="12.9" customHeight="1" x14ac:dyDescent="0.2">
      <c r="A77" s="511" t="s">
        <v>707</v>
      </c>
      <c r="B77" s="7"/>
      <c r="C77" s="499" t="s">
        <v>3386</v>
      </c>
      <c r="D77" s="197" t="s">
        <v>2272</v>
      </c>
      <c r="E77" s="2" t="s">
        <v>3387</v>
      </c>
      <c r="F77" s="2" t="s">
        <v>1278</v>
      </c>
      <c r="G77" s="2" t="s">
        <v>1279</v>
      </c>
      <c r="H77" s="3" t="s">
        <v>1280</v>
      </c>
      <c r="I77" s="197" t="s">
        <v>708</v>
      </c>
      <c r="J77" s="499" t="s">
        <v>2029</v>
      </c>
      <c r="K77" s="2" t="s">
        <v>2030</v>
      </c>
      <c r="L77" s="2" t="s">
        <v>2031</v>
      </c>
      <c r="M77" s="2" t="s">
        <v>419</v>
      </c>
      <c r="N77" s="2" t="s">
        <v>2033</v>
      </c>
      <c r="O77" s="405" t="s">
        <v>3539</v>
      </c>
      <c r="P77" s="197" t="s">
        <v>2035</v>
      </c>
      <c r="Q77" s="2" t="s">
        <v>711</v>
      </c>
      <c r="R77" s="2" t="s">
        <v>710</v>
      </c>
      <c r="S77" s="2" t="s">
        <v>709</v>
      </c>
      <c r="T77" s="3" t="s">
        <v>712</v>
      </c>
    </row>
    <row r="78" spans="1:41" ht="12.9" customHeight="1" x14ac:dyDescent="0.2">
      <c r="A78" s="7" t="s">
        <v>2264</v>
      </c>
      <c r="B78" s="7"/>
      <c r="C78" s="197" t="s">
        <v>3386</v>
      </c>
      <c r="D78" s="197" t="s">
        <v>2272</v>
      </c>
      <c r="E78" s="2" t="s">
        <v>3387</v>
      </c>
      <c r="F78" s="2" t="s">
        <v>1278</v>
      </c>
      <c r="G78" s="2" t="s">
        <v>1279</v>
      </c>
      <c r="H78" s="3" t="s">
        <v>1280</v>
      </c>
      <c r="I78" s="197" t="s">
        <v>713</v>
      </c>
      <c r="J78" s="197" t="s">
        <v>579</v>
      </c>
      <c r="K78" s="1" t="s">
        <v>714</v>
      </c>
      <c r="L78" s="1" t="s">
        <v>715</v>
      </c>
      <c r="M78" s="1" t="s">
        <v>3219</v>
      </c>
      <c r="N78" s="3" t="s">
        <v>2707</v>
      </c>
      <c r="O78" s="405" t="s">
        <v>716</v>
      </c>
      <c r="P78" s="197" t="s">
        <v>579</v>
      </c>
      <c r="Q78" s="1" t="s">
        <v>3389</v>
      </c>
      <c r="R78" s="1" t="s">
        <v>717</v>
      </c>
      <c r="S78" s="1" t="s">
        <v>718</v>
      </c>
      <c r="T78" s="3" t="s">
        <v>297</v>
      </c>
    </row>
    <row r="79" spans="1:41" ht="12.9" customHeight="1" x14ac:dyDescent="0.2">
      <c r="A79" s="7" t="s">
        <v>2266</v>
      </c>
      <c r="B79" s="7">
        <v>9</v>
      </c>
      <c r="C79" s="197" t="s">
        <v>3388</v>
      </c>
      <c r="D79" s="197" t="s">
        <v>579</v>
      </c>
      <c r="E79" s="1" t="s">
        <v>3389</v>
      </c>
      <c r="F79" s="2" t="s">
        <v>581</v>
      </c>
      <c r="G79" s="1" t="s">
        <v>3390</v>
      </c>
      <c r="H79" s="3" t="s">
        <v>2707</v>
      </c>
      <c r="I79" s="197" t="s">
        <v>845</v>
      </c>
      <c r="J79" s="197" t="s">
        <v>3398</v>
      </c>
      <c r="K79" s="2" t="s">
        <v>719</v>
      </c>
      <c r="L79" s="2" t="s">
        <v>720</v>
      </c>
      <c r="M79" s="2" t="s">
        <v>721</v>
      </c>
      <c r="N79" s="2" t="s">
        <v>722</v>
      </c>
      <c r="O79" s="405" t="s">
        <v>846</v>
      </c>
      <c r="P79" s="197" t="s">
        <v>847</v>
      </c>
      <c r="Q79" s="2" t="s">
        <v>3195</v>
      </c>
      <c r="R79" s="2" t="s">
        <v>3196</v>
      </c>
      <c r="S79" s="2" t="s">
        <v>3197</v>
      </c>
      <c r="T79" s="3" t="s">
        <v>522</v>
      </c>
    </row>
    <row r="80" spans="1:41" ht="12.9" customHeight="1" x14ac:dyDescent="0.2">
      <c r="A80" s="7" t="s">
        <v>2275</v>
      </c>
      <c r="B80" s="7"/>
      <c r="C80" s="512" t="s">
        <v>723</v>
      </c>
      <c r="D80" s="197"/>
      <c r="E80" s="1" t="s">
        <v>3215</v>
      </c>
      <c r="F80" s="1" t="s">
        <v>3215</v>
      </c>
      <c r="G80" s="1" t="s">
        <v>3215</v>
      </c>
      <c r="H80" s="1" t="s">
        <v>3215</v>
      </c>
      <c r="I80" s="405" t="s">
        <v>3215</v>
      </c>
      <c r="J80" s="197" t="s">
        <v>3215</v>
      </c>
      <c r="K80" s="2" t="s">
        <v>3215</v>
      </c>
      <c r="L80" s="2" t="s">
        <v>3215</v>
      </c>
      <c r="M80" s="2" t="s">
        <v>3215</v>
      </c>
      <c r="N80" s="2" t="s">
        <v>3215</v>
      </c>
      <c r="O80" s="405" t="s">
        <v>3215</v>
      </c>
      <c r="P80" s="197" t="s">
        <v>3215</v>
      </c>
      <c r="Q80" s="2" t="s">
        <v>3215</v>
      </c>
      <c r="R80" s="2" t="s">
        <v>3215</v>
      </c>
      <c r="S80" s="2" t="s">
        <v>3215</v>
      </c>
      <c r="T80" s="3" t="s">
        <v>3215</v>
      </c>
    </row>
    <row r="81" spans="1:20" ht="12.9" customHeight="1" x14ac:dyDescent="0.2">
      <c r="A81" s="7" t="s">
        <v>2276</v>
      </c>
      <c r="B81" s="7"/>
      <c r="C81" s="513" t="s">
        <v>2277</v>
      </c>
      <c r="D81" s="197"/>
      <c r="F81" s="1" t="s">
        <v>3215</v>
      </c>
      <c r="G81" s="1" t="s">
        <v>3215</v>
      </c>
      <c r="H81" s="1" t="s">
        <v>3215</v>
      </c>
      <c r="I81" s="405" t="s">
        <v>3215</v>
      </c>
      <c r="J81" s="197" t="s">
        <v>3215</v>
      </c>
      <c r="K81" s="2" t="s">
        <v>3215</v>
      </c>
      <c r="L81" s="2" t="s">
        <v>3215</v>
      </c>
      <c r="M81" s="2" t="s">
        <v>3215</v>
      </c>
      <c r="N81" s="2" t="s">
        <v>3215</v>
      </c>
      <c r="O81" s="405" t="s">
        <v>3215</v>
      </c>
      <c r="P81" s="197" t="s">
        <v>3215</v>
      </c>
      <c r="Q81" s="2" t="s">
        <v>3215</v>
      </c>
      <c r="R81" s="2" t="s">
        <v>3215</v>
      </c>
      <c r="S81" s="2" t="s">
        <v>3215</v>
      </c>
      <c r="T81" s="3" t="s">
        <v>3215</v>
      </c>
    </row>
    <row r="82" spans="1:20" ht="12.9" customHeight="1" x14ac:dyDescent="0.2">
      <c r="A82" s="7" t="s">
        <v>2278</v>
      </c>
      <c r="B82" s="7"/>
      <c r="C82" s="197" t="s">
        <v>2792</v>
      </c>
      <c r="D82" s="197" t="s">
        <v>517</v>
      </c>
      <c r="E82" s="1" t="s">
        <v>2793</v>
      </c>
      <c r="F82" s="1" t="s">
        <v>2270</v>
      </c>
      <c r="G82" s="1" t="s">
        <v>2794</v>
      </c>
      <c r="H82" s="1" t="s">
        <v>2795</v>
      </c>
      <c r="I82" s="197" t="s">
        <v>15</v>
      </c>
      <c r="J82" s="245" t="s">
        <v>849</v>
      </c>
      <c r="K82" s="1" t="s">
        <v>2194</v>
      </c>
      <c r="L82" s="1" t="s">
        <v>851</v>
      </c>
      <c r="M82" s="1" t="s">
        <v>852</v>
      </c>
      <c r="N82" s="1" t="s">
        <v>690</v>
      </c>
      <c r="O82" s="197" t="s">
        <v>854</v>
      </c>
      <c r="P82" s="197" t="s">
        <v>421</v>
      </c>
      <c r="Q82" s="1" t="s">
        <v>223</v>
      </c>
      <c r="R82" s="1" t="s">
        <v>446</v>
      </c>
      <c r="S82" s="1" t="s">
        <v>2332</v>
      </c>
      <c r="T82" s="3" t="s">
        <v>2187</v>
      </c>
    </row>
    <row r="83" spans="1:20" ht="12.9" customHeight="1" x14ac:dyDescent="0.2">
      <c r="A83" s="7" t="s">
        <v>2791</v>
      </c>
      <c r="B83" s="7">
        <v>11</v>
      </c>
      <c r="C83" s="197" t="s">
        <v>856</v>
      </c>
      <c r="D83" s="197" t="s">
        <v>2804</v>
      </c>
      <c r="E83" s="1" t="s">
        <v>145</v>
      </c>
      <c r="F83" s="1" t="s">
        <v>290</v>
      </c>
      <c r="G83" s="1" t="s">
        <v>1615</v>
      </c>
      <c r="H83" s="1" t="s">
        <v>857</v>
      </c>
      <c r="I83" s="405" t="s">
        <v>792</v>
      </c>
      <c r="J83" s="197" t="s">
        <v>1860</v>
      </c>
      <c r="K83" s="2" t="s">
        <v>1861</v>
      </c>
      <c r="L83" s="2" t="s">
        <v>1862</v>
      </c>
      <c r="M83" s="2" t="s">
        <v>1863</v>
      </c>
      <c r="N83" s="3" t="s">
        <v>794</v>
      </c>
      <c r="O83" s="405" t="s">
        <v>848</v>
      </c>
      <c r="P83" s="197" t="s">
        <v>849</v>
      </c>
      <c r="Q83" s="1" t="s">
        <v>850</v>
      </c>
      <c r="R83" s="1" t="s">
        <v>851</v>
      </c>
      <c r="S83" s="1" t="s">
        <v>859</v>
      </c>
      <c r="T83" s="3" t="s">
        <v>853</v>
      </c>
    </row>
    <row r="84" spans="1:20" ht="12.9" customHeight="1" x14ac:dyDescent="0.2">
      <c r="A84" s="7" t="s">
        <v>2249</v>
      </c>
      <c r="B84" s="7"/>
      <c r="C84" s="197" t="s">
        <v>848</v>
      </c>
      <c r="D84" s="197" t="s">
        <v>858</v>
      </c>
      <c r="E84" s="1" t="s">
        <v>850</v>
      </c>
      <c r="F84" s="1" t="s">
        <v>851</v>
      </c>
      <c r="G84" s="1" t="s">
        <v>859</v>
      </c>
      <c r="H84" s="3" t="s">
        <v>853</v>
      </c>
      <c r="I84" s="405" t="s">
        <v>860</v>
      </c>
      <c r="J84" s="197" t="s">
        <v>861</v>
      </c>
      <c r="K84" s="1" t="s">
        <v>862</v>
      </c>
      <c r="L84" s="1" t="s">
        <v>863</v>
      </c>
      <c r="M84" s="1" t="s">
        <v>864</v>
      </c>
      <c r="N84" s="1" t="s">
        <v>865</v>
      </c>
      <c r="O84" s="405" t="s">
        <v>792</v>
      </c>
      <c r="P84" s="197" t="s">
        <v>1860</v>
      </c>
      <c r="Q84" s="1" t="s">
        <v>793</v>
      </c>
      <c r="R84" s="1" t="s">
        <v>1862</v>
      </c>
      <c r="S84" s="1" t="s">
        <v>1863</v>
      </c>
      <c r="T84" s="3" t="s">
        <v>794</v>
      </c>
    </row>
    <row r="85" spans="1:20" ht="12.9" customHeight="1" x14ac:dyDescent="0.2">
      <c r="A85" s="7" t="s">
        <v>660</v>
      </c>
      <c r="B85" s="7"/>
      <c r="C85" s="197" t="s">
        <v>866</v>
      </c>
      <c r="D85" s="197" t="s">
        <v>49</v>
      </c>
      <c r="E85" s="1" t="s">
        <v>691</v>
      </c>
      <c r="F85" s="1" t="s">
        <v>2705</v>
      </c>
      <c r="G85" s="1" t="s">
        <v>4068</v>
      </c>
      <c r="H85" s="1" t="s">
        <v>692</v>
      </c>
      <c r="I85" s="197" t="s">
        <v>4061</v>
      </c>
      <c r="J85" s="197" t="s">
        <v>4062</v>
      </c>
      <c r="K85" s="2" t="s">
        <v>4063</v>
      </c>
      <c r="L85" s="2" t="s">
        <v>278</v>
      </c>
      <c r="M85" s="2" t="s">
        <v>279</v>
      </c>
      <c r="N85" s="1" t="s">
        <v>280</v>
      </c>
      <c r="O85" s="405" t="s">
        <v>2800</v>
      </c>
      <c r="P85" s="197" t="s">
        <v>795</v>
      </c>
      <c r="Q85" s="1" t="s">
        <v>44</v>
      </c>
      <c r="R85" s="1" t="s">
        <v>4052</v>
      </c>
      <c r="S85" s="1" t="s">
        <v>2802</v>
      </c>
      <c r="T85" s="3" t="s">
        <v>4054</v>
      </c>
    </row>
    <row r="86" spans="1:20" ht="12.9" customHeight="1" x14ac:dyDescent="0.2">
      <c r="A86" s="7" t="s">
        <v>2799</v>
      </c>
      <c r="B86" s="7"/>
      <c r="C86" s="197" t="s">
        <v>4061</v>
      </c>
      <c r="D86" s="197" t="s">
        <v>4062</v>
      </c>
      <c r="E86" s="2" t="s">
        <v>4063</v>
      </c>
      <c r="F86" s="2" t="s">
        <v>278</v>
      </c>
      <c r="G86" s="2" t="s">
        <v>279</v>
      </c>
      <c r="H86" s="1" t="s">
        <v>280</v>
      </c>
      <c r="I86" s="405" t="s">
        <v>661</v>
      </c>
      <c r="J86" s="197" t="s">
        <v>517</v>
      </c>
      <c r="K86" s="1" t="s">
        <v>2793</v>
      </c>
      <c r="L86" s="1" t="s">
        <v>662</v>
      </c>
      <c r="M86" s="1" t="s">
        <v>2798</v>
      </c>
      <c r="N86" s="3" t="s">
        <v>586</v>
      </c>
      <c r="O86" s="197" t="s">
        <v>848</v>
      </c>
      <c r="P86" s="197" t="s">
        <v>4062</v>
      </c>
      <c r="Q86" s="1" t="s">
        <v>765</v>
      </c>
      <c r="R86" s="1" t="s">
        <v>851</v>
      </c>
      <c r="S86" s="1" t="s">
        <v>859</v>
      </c>
      <c r="T86" s="3" t="s">
        <v>853</v>
      </c>
    </row>
    <row r="87" spans="1:20" ht="12.9" customHeight="1" x14ac:dyDescent="0.2">
      <c r="A87" s="7" t="s">
        <v>2807</v>
      </c>
      <c r="B87" s="7"/>
      <c r="C87" s="197" t="s">
        <v>48</v>
      </c>
      <c r="D87" s="197" t="s">
        <v>49</v>
      </c>
      <c r="E87" s="2" t="s">
        <v>691</v>
      </c>
      <c r="F87" s="2" t="s">
        <v>2705</v>
      </c>
      <c r="G87" s="2" t="s">
        <v>2706</v>
      </c>
      <c r="H87" s="2" t="s">
        <v>4068</v>
      </c>
      <c r="I87" s="197" t="s">
        <v>798</v>
      </c>
      <c r="J87" s="504" t="s">
        <v>799</v>
      </c>
      <c r="K87" s="1" t="s">
        <v>800</v>
      </c>
      <c r="L87" s="1" t="s">
        <v>801</v>
      </c>
      <c r="M87" s="1" t="s">
        <v>2144</v>
      </c>
      <c r="N87" s="1" t="s">
        <v>557</v>
      </c>
      <c r="O87" s="197" t="s">
        <v>4172</v>
      </c>
      <c r="P87" s="197" t="s">
        <v>579</v>
      </c>
      <c r="Q87" s="2" t="s">
        <v>3218</v>
      </c>
      <c r="R87" s="2" t="s">
        <v>581</v>
      </c>
      <c r="S87" s="2" t="s">
        <v>3220</v>
      </c>
      <c r="T87" s="3" t="s">
        <v>2796</v>
      </c>
    </row>
    <row r="88" spans="1:20" ht="12.9" customHeight="1" x14ac:dyDescent="0.2">
      <c r="A88" s="7" t="s">
        <v>2811</v>
      </c>
      <c r="B88" s="7"/>
      <c r="C88" s="197" t="s">
        <v>798</v>
      </c>
      <c r="D88" s="504" t="s">
        <v>799</v>
      </c>
      <c r="E88" s="1" t="s">
        <v>800</v>
      </c>
      <c r="F88" s="1" t="s">
        <v>801</v>
      </c>
      <c r="G88" s="1" t="s">
        <v>2144</v>
      </c>
      <c r="H88" s="1" t="s">
        <v>557</v>
      </c>
      <c r="I88" s="197" t="s">
        <v>48</v>
      </c>
      <c r="J88" s="197" t="s">
        <v>49</v>
      </c>
      <c r="K88" s="2" t="s">
        <v>458</v>
      </c>
      <c r="L88" s="2" t="s">
        <v>2705</v>
      </c>
      <c r="M88" s="2" t="s">
        <v>2706</v>
      </c>
      <c r="N88" s="2" t="s">
        <v>4068</v>
      </c>
      <c r="O88" s="405" t="s">
        <v>4172</v>
      </c>
      <c r="P88" s="197" t="s">
        <v>579</v>
      </c>
      <c r="Q88" s="2" t="s">
        <v>3218</v>
      </c>
      <c r="R88" s="2" t="s">
        <v>581</v>
      </c>
      <c r="S88" s="2" t="s">
        <v>3220</v>
      </c>
      <c r="T88" s="3" t="s">
        <v>2796</v>
      </c>
    </row>
    <row r="89" spans="1:20" ht="12.9" customHeight="1" x14ac:dyDescent="0.2">
      <c r="A89" s="7" t="s">
        <v>2814</v>
      </c>
      <c r="B89" s="7"/>
      <c r="C89" s="197" t="s">
        <v>798</v>
      </c>
      <c r="D89" s="504" t="s">
        <v>799</v>
      </c>
      <c r="E89" s="1" t="s">
        <v>800</v>
      </c>
      <c r="F89" s="1" t="s">
        <v>801</v>
      </c>
      <c r="G89" s="1" t="s">
        <v>2144</v>
      </c>
      <c r="H89" s="1" t="s">
        <v>557</v>
      </c>
      <c r="I89" s="197" t="s">
        <v>2820</v>
      </c>
      <c r="J89" s="197" t="s">
        <v>517</v>
      </c>
      <c r="K89" s="1" t="s">
        <v>3517</v>
      </c>
      <c r="L89" s="1" t="s">
        <v>662</v>
      </c>
      <c r="M89" s="1" t="s">
        <v>3518</v>
      </c>
      <c r="N89" s="3" t="s">
        <v>3519</v>
      </c>
      <c r="O89" s="197" t="s">
        <v>867</v>
      </c>
      <c r="P89" s="197" t="s">
        <v>4177</v>
      </c>
      <c r="Q89" s="2" t="s">
        <v>868</v>
      </c>
      <c r="R89" s="2" t="s">
        <v>869</v>
      </c>
      <c r="S89" s="2" t="s">
        <v>870</v>
      </c>
      <c r="T89" s="3" t="s">
        <v>3662</v>
      </c>
    </row>
    <row r="90" spans="1:20" ht="12.9" customHeight="1" x14ac:dyDescent="0.2">
      <c r="A90" s="7" t="s">
        <v>2815</v>
      </c>
      <c r="B90" s="7"/>
      <c r="C90" s="197" t="s">
        <v>2820</v>
      </c>
      <c r="D90" s="197" t="s">
        <v>517</v>
      </c>
      <c r="E90" s="1" t="s">
        <v>3517</v>
      </c>
      <c r="F90" s="1" t="s">
        <v>662</v>
      </c>
      <c r="G90" s="1" t="s">
        <v>3518</v>
      </c>
      <c r="H90" s="3" t="s">
        <v>3519</v>
      </c>
      <c r="I90" s="405" t="s">
        <v>867</v>
      </c>
      <c r="J90" s="197" t="s">
        <v>4177</v>
      </c>
      <c r="K90" s="2" t="s">
        <v>868</v>
      </c>
      <c r="L90" s="2" t="s">
        <v>869</v>
      </c>
      <c r="M90" s="2" t="s">
        <v>870</v>
      </c>
      <c r="N90" s="3" t="s">
        <v>3662</v>
      </c>
      <c r="O90" s="197" t="s">
        <v>3291</v>
      </c>
      <c r="P90" s="197" t="s">
        <v>3292</v>
      </c>
      <c r="Q90" s="7" t="s">
        <v>449</v>
      </c>
      <c r="R90" s="2" t="s">
        <v>3705</v>
      </c>
      <c r="S90" s="2" t="s">
        <v>2144</v>
      </c>
      <c r="T90" s="3" t="s">
        <v>557</v>
      </c>
    </row>
    <row r="91" spans="1:20" ht="12.9" customHeight="1" x14ac:dyDescent="0.2">
      <c r="A91" s="7" t="s">
        <v>2819</v>
      </c>
      <c r="B91" s="7"/>
      <c r="C91" s="197" t="s">
        <v>3663</v>
      </c>
      <c r="D91" s="197" t="s">
        <v>4177</v>
      </c>
      <c r="E91" s="2" t="s">
        <v>2532</v>
      </c>
      <c r="F91" s="2" t="s">
        <v>693</v>
      </c>
      <c r="G91" s="2" t="s">
        <v>2533</v>
      </c>
      <c r="H91" s="1" t="s">
        <v>4033</v>
      </c>
      <c r="I91" s="197" t="s">
        <v>3664</v>
      </c>
      <c r="J91" s="197" t="s">
        <v>3665</v>
      </c>
      <c r="K91" s="1" t="s">
        <v>2138</v>
      </c>
      <c r="L91" s="1" t="s">
        <v>3666</v>
      </c>
      <c r="M91" s="1" t="s">
        <v>3667</v>
      </c>
      <c r="N91" s="1" t="s">
        <v>3395</v>
      </c>
      <c r="O91" s="197" t="s">
        <v>3668</v>
      </c>
      <c r="P91" s="197" t="s">
        <v>2537</v>
      </c>
      <c r="Q91" s="1" t="s">
        <v>2793</v>
      </c>
      <c r="R91" s="1" t="s">
        <v>278</v>
      </c>
      <c r="S91" s="1" t="s">
        <v>2534</v>
      </c>
      <c r="T91" s="3" t="s">
        <v>2535</v>
      </c>
    </row>
    <row r="92" spans="1:20" ht="12.9" customHeight="1" x14ac:dyDescent="0.2">
      <c r="A92" s="7" t="s">
        <v>2825</v>
      </c>
      <c r="B92" s="7"/>
      <c r="C92" s="197" t="s">
        <v>48</v>
      </c>
      <c r="D92" s="197" t="s">
        <v>49</v>
      </c>
      <c r="E92" s="2" t="s">
        <v>458</v>
      </c>
      <c r="F92" s="2" t="s">
        <v>2705</v>
      </c>
      <c r="G92" s="2" t="s">
        <v>2706</v>
      </c>
      <c r="H92" s="2" t="s">
        <v>4068</v>
      </c>
      <c r="I92" s="197" t="s">
        <v>867</v>
      </c>
      <c r="J92" s="197" t="s">
        <v>4177</v>
      </c>
      <c r="K92" s="1" t="s">
        <v>868</v>
      </c>
      <c r="L92" s="2" t="s">
        <v>869</v>
      </c>
      <c r="M92" s="2" t="s">
        <v>870</v>
      </c>
      <c r="N92" s="3" t="s">
        <v>3669</v>
      </c>
      <c r="O92" s="197" t="s">
        <v>3291</v>
      </c>
      <c r="P92" s="197" t="s">
        <v>3292</v>
      </c>
      <c r="Q92" s="7" t="s">
        <v>449</v>
      </c>
      <c r="R92" s="2" t="s">
        <v>2144</v>
      </c>
      <c r="S92" s="2" t="s">
        <v>3705</v>
      </c>
      <c r="T92" s="3" t="s">
        <v>557</v>
      </c>
    </row>
    <row r="93" spans="1:20" ht="12.9" customHeight="1" x14ac:dyDescent="0.2">
      <c r="A93" s="7" t="s">
        <v>3516</v>
      </c>
      <c r="B93" s="7"/>
      <c r="C93" s="197" t="s">
        <v>48</v>
      </c>
      <c r="D93" s="197" t="s">
        <v>49</v>
      </c>
      <c r="E93" s="2" t="s">
        <v>458</v>
      </c>
      <c r="F93" s="2" t="s">
        <v>2705</v>
      </c>
      <c r="G93" s="2" t="s">
        <v>2706</v>
      </c>
      <c r="H93" s="2" t="s">
        <v>4068</v>
      </c>
      <c r="I93" s="197" t="s">
        <v>3291</v>
      </c>
      <c r="J93" s="197" t="s">
        <v>3292</v>
      </c>
      <c r="K93" s="7" t="s">
        <v>449</v>
      </c>
      <c r="L93" s="2" t="s">
        <v>2144</v>
      </c>
      <c r="M93" s="2" t="s">
        <v>3705</v>
      </c>
      <c r="N93" s="3" t="s">
        <v>557</v>
      </c>
      <c r="O93" s="405" t="s">
        <v>3670</v>
      </c>
      <c r="P93" s="197" t="s">
        <v>4177</v>
      </c>
      <c r="Q93" s="2" t="s">
        <v>3671</v>
      </c>
      <c r="R93" s="2" t="s">
        <v>869</v>
      </c>
      <c r="S93" s="2" t="s">
        <v>870</v>
      </c>
      <c r="T93" s="3" t="s">
        <v>3669</v>
      </c>
    </row>
    <row r="94" spans="1:20" ht="12.9" customHeight="1" x14ac:dyDescent="0.2">
      <c r="A94" s="9" t="s">
        <v>3521</v>
      </c>
      <c r="B94" s="9"/>
      <c r="C94" s="198" t="s">
        <v>3946</v>
      </c>
      <c r="D94" s="198" t="s">
        <v>517</v>
      </c>
      <c r="E94" s="4" t="s">
        <v>3517</v>
      </c>
      <c r="F94" s="4" t="s">
        <v>662</v>
      </c>
      <c r="G94" s="4" t="s">
        <v>3518</v>
      </c>
      <c r="H94" s="5" t="s">
        <v>3519</v>
      </c>
      <c r="I94" s="198" t="s">
        <v>3672</v>
      </c>
      <c r="J94" s="198" t="s">
        <v>3673</v>
      </c>
      <c r="K94" s="4" t="s">
        <v>3674</v>
      </c>
      <c r="L94" s="4" t="s">
        <v>3675</v>
      </c>
      <c r="M94" s="4" t="s">
        <v>3676</v>
      </c>
      <c r="N94" s="4" t="s">
        <v>1969</v>
      </c>
      <c r="O94" s="497" t="s">
        <v>3670</v>
      </c>
      <c r="P94" s="198" t="s">
        <v>4177</v>
      </c>
      <c r="Q94" s="4" t="s">
        <v>3671</v>
      </c>
      <c r="R94" s="4" t="s">
        <v>869</v>
      </c>
      <c r="S94" s="4" t="s">
        <v>870</v>
      </c>
      <c r="T94" s="5" t="s">
        <v>4033</v>
      </c>
    </row>
    <row r="95" spans="1:20" ht="12.9" customHeight="1" x14ac:dyDescent="0.2">
      <c r="A95" s="2"/>
      <c r="B95" s="2"/>
      <c r="C95" s="280"/>
      <c r="D95" s="280"/>
      <c r="E95" s="2"/>
      <c r="F95" s="2"/>
      <c r="G95" s="2"/>
      <c r="H95" s="2"/>
      <c r="I95" s="280"/>
      <c r="J95" s="280"/>
      <c r="K95" s="2"/>
      <c r="L95" s="2"/>
      <c r="M95" s="2"/>
      <c r="N95" s="2"/>
      <c r="O95" s="280"/>
      <c r="P95" s="280"/>
      <c r="Q95" s="2"/>
      <c r="R95" s="2"/>
      <c r="S95" s="2"/>
      <c r="T95" s="2"/>
    </row>
    <row r="96" spans="1:20" ht="12.9" customHeight="1" x14ac:dyDescent="0.2">
      <c r="A96" s="509" t="s">
        <v>2012</v>
      </c>
      <c r="B96" s="494"/>
      <c r="C96" s="675" t="s">
        <v>3677</v>
      </c>
      <c r="D96" s="676"/>
      <c r="E96" s="676"/>
      <c r="F96" s="676"/>
      <c r="G96" s="676"/>
      <c r="H96" s="677"/>
      <c r="I96" s="675" t="s">
        <v>3678</v>
      </c>
      <c r="J96" s="676"/>
      <c r="K96" s="676"/>
      <c r="L96" s="676"/>
      <c r="M96" s="676"/>
      <c r="N96" s="677"/>
      <c r="O96" s="675" t="s">
        <v>3679</v>
      </c>
      <c r="P96" s="676"/>
      <c r="Q96" s="676"/>
      <c r="R96" s="676"/>
      <c r="S96" s="676"/>
      <c r="T96" s="677"/>
    </row>
    <row r="97" spans="1:22" ht="12.9" customHeight="1" x14ac:dyDescent="0.2">
      <c r="A97" s="510" t="s">
        <v>2263</v>
      </c>
      <c r="B97" s="9"/>
      <c r="D97" s="498"/>
      <c r="E97" s="4" t="s">
        <v>2017</v>
      </c>
      <c r="F97" s="4" t="s">
        <v>2018</v>
      </c>
      <c r="G97" s="4" t="s">
        <v>2019</v>
      </c>
      <c r="H97" s="5" t="s">
        <v>2020</v>
      </c>
      <c r="I97" s="497"/>
      <c r="J97" s="498"/>
      <c r="K97" s="4" t="s">
        <v>2017</v>
      </c>
      <c r="L97" s="4" t="s">
        <v>2018</v>
      </c>
      <c r="M97" s="4" t="s">
        <v>2019</v>
      </c>
      <c r="N97" s="5" t="s">
        <v>2020</v>
      </c>
      <c r="O97" s="497"/>
      <c r="P97" s="498"/>
      <c r="Q97" s="4" t="s">
        <v>2017</v>
      </c>
      <c r="R97" s="4" t="s">
        <v>2018</v>
      </c>
      <c r="S97" s="4" t="s">
        <v>2019</v>
      </c>
      <c r="T97" s="5" t="s">
        <v>2020</v>
      </c>
    </row>
    <row r="98" spans="1:22" ht="12.9" customHeight="1" x14ac:dyDescent="0.2">
      <c r="A98" s="511" t="s">
        <v>707</v>
      </c>
      <c r="B98" s="7"/>
      <c r="C98" s="499" t="s">
        <v>3383</v>
      </c>
      <c r="D98" s="197" t="s">
        <v>3526</v>
      </c>
      <c r="E98" s="2" t="s">
        <v>3527</v>
      </c>
      <c r="F98" s="2" t="s">
        <v>3528</v>
      </c>
      <c r="G98" s="2" t="s">
        <v>3084</v>
      </c>
      <c r="H98" s="2" t="s">
        <v>3085</v>
      </c>
      <c r="I98" s="197" t="s">
        <v>713</v>
      </c>
      <c r="J98" s="197" t="s">
        <v>579</v>
      </c>
      <c r="K98" s="1" t="s">
        <v>714</v>
      </c>
      <c r="L98" s="1" t="s">
        <v>715</v>
      </c>
      <c r="M98" s="1" t="s">
        <v>3219</v>
      </c>
      <c r="N98" s="3" t="s">
        <v>2707</v>
      </c>
      <c r="O98" s="405" t="s">
        <v>3529</v>
      </c>
      <c r="P98" s="197" t="s">
        <v>2041</v>
      </c>
      <c r="Q98" s="1" t="s">
        <v>3535</v>
      </c>
      <c r="R98" s="1" t="s">
        <v>3536</v>
      </c>
      <c r="S98" s="1" t="s">
        <v>3194</v>
      </c>
      <c r="T98" s="404" t="s">
        <v>3538</v>
      </c>
    </row>
    <row r="99" spans="1:22" ht="12.9" customHeight="1" x14ac:dyDescent="0.2">
      <c r="A99" s="7" t="s">
        <v>2264</v>
      </c>
      <c r="B99" s="7"/>
      <c r="C99" s="197" t="s">
        <v>724</v>
      </c>
      <c r="D99" s="197" t="s">
        <v>2035</v>
      </c>
      <c r="E99" s="2" t="s">
        <v>725</v>
      </c>
      <c r="F99" s="2" t="s">
        <v>726</v>
      </c>
      <c r="G99" s="2" t="s">
        <v>727</v>
      </c>
      <c r="H99" s="2" t="s">
        <v>728</v>
      </c>
      <c r="I99" s="405" t="s">
        <v>729</v>
      </c>
      <c r="J99" s="197" t="s">
        <v>730</v>
      </c>
      <c r="K99" s="1" t="s">
        <v>1747</v>
      </c>
      <c r="L99" s="1" t="s">
        <v>731</v>
      </c>
      <c r="M99" s="1" t="s">
        <v>298</v>
      </c>
      <c r="N99" s="1" t="s">
        <v>687</v>
      </c>
      <c r="O99" s="405" t="s">
        <v>3539</v>
      </c>
      <c r="P99" s="197" t="s">
        <v>2035</v>
      </c>
      <c r="Q99" s="2" t="s">
        <v>711</v>
      </c>
      <c r="R99" s="2" t="s">
        <v>710</v>
      </c>
      <c r="S99" s="2" t="s">
        <v>709</v>
      </c>
      <c r="T99" s="3" t="s">
        <v>712</v>
      </c>
      <c r="V99" s="2"/>
    </row>
    <row r="100" spans="1:22" ht="12.9" customHeight="1" x14ac:dyDescent="0.2">
      <c r="A100" s="7" t="s">
        <v>2266</v>
      </c>
      <c r="B100" s="7">
        <v>6</v>
      </c>
      <c r="C100" s="197" t="s">
        <v>3680</v>
      </c>
      <c r="D100" s="197" t="s">
        <v>3357</v>
      </c>
      <c r="E100" s="1" t="s">
        <v>3094</v>
      </c>
      <c r="F100" s="1" t="s">
        <v>3095</v>
      </c>
      <c r="G100" s="1" t="s">
        <v>702</v>
      </c>
      <c r="H100" s="1" t="s">
        <v>737</v>
      </c>
      <c r="I100" s="197" t="s">
        <v>3681</v>
      </c>
      <c r="J100" s="197" t="s">
        <v>130</v>
      </c>
      <c r="K100" s="2" t="s">
        <v>2739</v>
      </c>
      <c r="L100" s="2" t="s">
        <v>4258</v>
      </c>
      <c r="M100" s="2" t="s">
        <v>701</v>
      </c>
      <c r="N100" s="2" t="s">
        <v>4259</v>
      </c>
      <c r="O100" s="405" t="s">
        <v>1457</v>
      </c>
      <c r="P100" s="197" t="s">
        <v>2035</v>
      </c>
      <c r="Q100" s="2" t="s">
        <v>3915</v>
      </c>
      <c r="R100" s="2" t="s">
        <v>3916</v>
      </c>
      <c r="S100" s="2" t="s">
        <v>3630</v>
      </c>
      <c r="T100" s="3" t="s">
        <v>3917</v>
      </c>
    </row>
    <row r="101" spans="1:22" ht="12.9" customHeight="1" x14ac:dyDescent="0.2">
      <c r="A101" s="7" t="s">
        <v>2275</v>
      </c>
      <c r="B101" s="7"/>
      <c r="C101" s="512" t="s">
        <v>732</v>
      </c>
      <c r="D101" s="197"/>
      <c r="E101" s="1" t="s">
        <v>3215</v>
      </c>
      <c r="F101" s="1" t="s">
        <v>3215</v>
      </c>
      <c r="G101" s="1" t="s">
        <v>3215</v>
      </c>
      <c r="H101" s="1" t="s">
        <v>3215</v>
      </c>
      <c r="I101" s="405" t="s">
        <v>3215</v>
      </c>
      <c r="J101" s="197" t="s">
        <v>3215</v>
      </c>
      <c r="K101" s="2" t="s">
        <v>3215</v>
      </c>
      <c r="L101" s="2" t="s">
        <v>3215</v>
      </c>
      <c r="M101" s="2" t="s">
        <v>3215</v>
      </c>
      <c r="N101" s="2" t="s">
        <v>3215</v>
      </c>
      <c r="O101" s="405" t="s">
        <v>3215</v>
      </c>
      <c r="P101" s="197" t="s">
        <v>3215</v>
      </c>
      <c r="Q101" s="2" t="s">
        <v>3215</v>
      </c>
      <c r="R101" s="2" t="s">
        <v>3215</v>
      </c>
      <c r="S101" s="2" t="s">
        <v>3215</v>
      </c>
      <c r="T101" s="3" t="s">
        <v>3215</v>
      </c>
    </row>
    <row r="102" spans="1:22" ht="12.9" customHeight="1" x14ac:dyDescent="0.2">
      <c r="A102" s="7" t="s">
        <v>2276</v>
      </c>
      <c r="B102" s="7">
        <v>26</v>
      </c>
      <c r="C102" s="197" t="s">
        <v>549</v>
      </c>
      <c r="D102" s="197" t="s">
        <v>550</v>
      </c>
      <c r="E102" s="2" t="s">
        <v>3522</v>
      </c>
      <c r="F102" s="2" t="s">
        <v>3391</v>
      </c>
      <c r="G102" s="2" t="s">
        <v>3392</v>
      </c>
      <c r="H102" s="2" t="s">
        <v>3393</v>
      </c>
      <c r="I102" s="405" t="s">
        <v>3529</v>
      </c>
      <c r="J102" s="197" t="s">
        <v>2041</v>
      </c>
      <c r="K102" s="2" t="s">
        <v>3535</v>
      </c>
      <c r="L102" s="2" t="s">
        <v>3536</v>
      </c>
      <c r="M102" s="2" t="s">
        <v>3194</v>
      </c>
      <c r="N102" s="3" t="s">
        <v>3538</v>
      </c>
      <c r="O102" s="405" t="s">
        <v>3397</v>
      </c>
      <c r="P102" s="197" t="s">
        <v>3398</v>
      </c>
      <c r="Q102" s="2" t="s">
        <v>705</v>
      </c>
      <c r="R102" s="2" t="s">
        <v>369</v>
      </c>
      <c r="S102" s="2" t="s">
        <v>706</v>
      </c>
      <c r="T102" s="3" t="s">
        <v>1851</v>
      </c>
    </row>
    <row r="103" spans="1:22" ht="12.9" customHeight="1" x14ac:dyDescent="0.2">
      <c r="A103" s="7" t="s">
        <v>2278</v>
      </c>
      <c r="B103" s="7">
        <v>10</v>
      </c>
      <c r="C103" s="197" t="s">
        <v>4255</v>
      </c>
      <c r="D103" s="197" t="s">
        <v>3683</v>
      </c>
      <c r="E103" s="2" t="s">
        <v>3534</v>
      </c>
      <c r="F103" s="2" t="s">
        <v>4258</v>
      </c>
      <c r="G103" s="2" t="s">
        <v>4260</v>
      </c>
      <c r="H103" s="3" t="s">
        <v>4259</v>
      </c>
      <c r="I103" s="405" t="s">
        <v>1527</v>
      </c>
      <c r="J103" s="197" t="s">
        <v>2041</v>
      </c>
      <c r="K103" s="1" t="s">
        <v>1529</v>
      </c>
      <c r="L103" s="1" t="s">
        <v>1458</v>
      </c>
      <c r="M103" s="1" t="s">
        <v>3543</v>
      </c>
      <c r="N103" s="1" t="s">
        <v>2457</v>
      </c>
      <c r="O103" s="405" t="s">
        <v>4160</v>
      </c>
      <c r="P103" s="197" t="s">
        <v>3684</v>
      </c>
      <c r="Q103" s="1" t="s">
        <v>556</v>
      </c>
      <c r="R103" s="1" t="s">
        <v>558</v>
      </c>
      <c r="S103" s="1" t="s">
        <v>167</v>
      </c>
      <c r="T103" s="3" t="s">
        <v>4162</v>
      </c>
    </row>
    <row r="104" spans="1:22" ht="12.9" customHeight="1" x14ac:dyDescent="0.2">
      <c r="A104" s="7" t="s">
        <v>2791</v>
      </c>
      <c r="B104" s="7"/>
      <c r="C104" s="197" t="s">
        <v>4035</v>
      </c>
      <c r="D104" s="197" t="s">
        <v>3399</v>
      </c>
      <c r="E104" s="1" t="s">
        <v>449</v>
      </c>
      <c r="F104" s="1" t="s">
        <v>270</v>
      </c>
      <c r="G104" s="1" t="s">
        <v>2144</v>
      </c>
      <c r="H104" s="1" t="s">
        <v>557</v>
      </c>
      <c r="I104" s="405" t="s">
        <v>18</v>
      </c>
      <c r="J104" s="245" t="s">
        <v>4249</v>
      </c>
      <c r="K104" s="1" t="s">
        <v>1518</v>
      </c>
      <c r="L104" s="1" t="s">
        <v>3685</v>
      </c>
      <c r="M104" s="1" t="s">
        <v>1519</v>
      </c>
      <c r="N104" s="3" t="s">
        <v>1520</v>
      </c>
      <c r="O104" s="197" t="s">
        <v>3686</v>
      </c>
      <c r="P104" s="197" t="s">
        <v>3526</v>
      </c>
      <c r="Q104" s="1" t="s">
        <v>218</v>
      </c>
      <c r="R104" s="1" t="s">
        <v>3528</v>
      </c>
      <c r="S104" s="1" t="s">
        <v>219</v>
      </c>
      <c r="T104" s="3" t="s">
        <v>220</v>
      </c>
    </row>
    <row r="105" spans="1:22" ht="12.9" customHeight="1" x14ac:dyDescent="0.2">
      <c r="A105" s="7" t="s">
        <v>2249</v>
      </c>
      <c r="B105" s="7"/>
      <c r="C105" s="197" t="s">
        <v>221</v>
      </c>
      <c r="D105" s="197" t="s">
        <v>4041</v>
      </c>
      <c r="E105" s="1" t="s">
        <v>4042</v>
      </c>
      <c r="F105" s="1" t="s">
        <v>731</v>
      </c>
      <c r="G105" s="1" t="s">
        <v>733</v>
      </c>
      <c r="H105" s="1" t="s">
        <v>2466</v>
      </c>
      <c r="I105" s="197" t="s">
        <v>2464</v>
      </c>
      <c r="J105" s="197" t="s">
        <v>4249</v>
      </c>
      <c r="K105" s="1" t="s">
        <v>1518</v>
      </c>
      <c r="L105" s="1" t="s">
        <v>796</v>
      </c>
      <c r="M105" s="1" t="s">
        <v>1519</v>
      </c>
      <c r="N105" s="3" t="s">
        <v>1520</v>
      </c>
      <c r="O105" s="197" t="s">
        <v>222</v>
      </c>
      <c r="P105" s="504" t="s">
        <v>421</v>
      </c>
      <c r="Q105" s="1" t="s">
        <v>223</v>
      </c>
      <c r="R105" s="1" t="s">
        <v>224</v>
      </c>
      <c r="S105" s="1" t="s">
        <v>1071</v>
      </c>
      <c r="T105" s="3" t="s">
        <v>446</v>
      </c>
    </row>
    <row r="106" spans="1:22" ht="12.9" customHeight="1" x14ac:dyDescent="0.2">
      <c r="A106" s="7" t="s">
        <v>660</v>
      </c>
      <c r="B106" s="7"/>
      <c r="C106" s="197" t="s">
        <v>226</v>
      </c>
      <c r="D106" s="197" t="s">
        <v>4249</v>
      </c>
      <c r="E106" s="1" t="s">
        <v>3542</v>
      </c>
      <c r="F106" s="1" t="s">
        <v>227</v>
      </c>
      <c r="G106" s="1" t="s">
        <v>3543</v>
      </c>
      <c r="H106" s="1" t="s">
        <v>228</v>
      </c>
      <c r="I106" s="405" t="s">
        <v>229</v>
      </c>
      <c r="J106" s="197" t="s">
        <v>4230</v>
      </c>
      <c r="K106" s="1" t="s">
        <v>2461</v>
      </c>
      <c r="L106" s="1" t="s">
        <v>446</v>
      </c>
      <c r="M106" s="1" t="s">
        <v>2462</v>
      </c>
      <c r="N106" s="3" t="s">
        <v>3385</v>
      </c>
      <c r="O106" s="197" t="s">
        <v>792</v>
      </c>
      <c r="P106" s="197" t="s">
        <v>1860</v>
      </c>
      <c r="Q106" s="1" t="s">
        <v>793</v>
      </c>
      <c r="R106" s="1" t="s">
        <v>1862</v>
      </c>
      <c r="S106" s="1" t="s">
        <v>1863</v>
      </c>
      <c r="T106" s="3" t="s">
        <v>794</v>
      </c>
    </row>
    <row r="107" spans="1:22" ht="12.9" customHeight="1" x14ac:dyDescent="0.2">
      <c r="A107" s="7" t="s">
        <v>2799</v>
      </c>
      <c r="B107" s="7"/>
      <c r="C107" s="197" t="s">
        <v>230</v>
      </c>
      <c r="D107" s="197" t="s">
        <v>211</v>
      </c>
      <c r="E107" s="1" t="s">
        <v>231</v>
      </c>
      <c r="F107" s="1" t="s">
        <v>813</v>
      </c>
      <c r="G107" s="1" t="s">
        <v>232</v>
      </c>
      <c r="H107" s="1" t="s">
        <v>3534</v>
      </c>
      <c r="I107" s="405" t="s">
        <v>2464</v>
      </c>
      <c r="J107" s="197" t="s">
        <v>4249</v>
      </c>
      <c r="K107" s="1" t="s">
        <v>1518</v>
      </c>
      <c r="L107" s="1" t="s">
        <v>796</v>
      </c>
      <c r="M107" s="1" t="s">
        <v>1519</v>
      </c>
      <c r="N107" s="3" t="s">
        <v>1520</v>
      </c>
      <c r="O107" s="197" t="s">
        <v>4055</v>
      </c>
      <c r="P107" s="197" t="s">
        <v>4041</v>
      </c>
      <c r="Q107" s="1" t="s">
        <v>4056</v>
      </c>
      <c r="R107" s="1" t="s">
        <v>4057</v>
      </c>
      <c r="S107" s="1" t="s">
        <v>4058</v>
      </c>
      <c r="T107" s="3" t="s">
        <v>4059</v>
      </c>
    </row>
    <row r="108" spans="1:22" ht="12.9" customHeight="1" x14ac:dyDescent="0.2">
      <c r="A108" s="7" t="s">
        <v>2807</v>
      </c>
      <c r="B108" s="7"/>
      <c r="C108" s="197" t="s">
        <v>2467</v>
      </c>
      <c r="D108" s="504" t="s">
        <v>2468</v>
      </c>
      <c r="E108" s="1" t="s">
        <v>2469</v>
      </c>
      <c r="F108" s="1" t="s">
        <v>2470</v>
      </c>
      <c r="G108" s="1" t="s">
        <v>2471</v>
      </c>
      <c r="H108" s="1" t="s">
        <v>2472</v>
      </c>
      <c r="I108" s="197" t="s">
        <v>233</v>
      </c>
      <c r="J108" s="504" t="s">
        <v>3545</v>
      </c>
      <c r="K108" s="1" t="s">
        <v>585</v>
      </c>
      <c r="L108" s="1" t="s">
        <v>4083</v>
      </c>
      <c r="M108" s="1" t="s">
        <v>37</v>
      </c>
      <c r="N108" s="1" t="s">
        <v>3693</v>
      </c>
      <c r="O108" s="197" t="s">
        <v>2473</v>
      </c>
      <c r="P108" s="197" t="s">
        <v>4075</v>
      </c>
      <c r="Q108" s="1" t="s">
        <v>3522</v>
      </c>
      <c r="R108" s="1" t="s">
        <v>2474</v>
      </c>
      <c r="S108" s="1" t="s">
        <v>1312</v>
      </c>
      <c r="T108" s="3" t="s">
        <v>4076</v>
      </c>
    </row>
    <row r="109" spans="1:22" ht="12.9" customHeight="1" x14ac:dyDescent="0.2">
      <c r="A109" s="7" t="s">
        <v>2811</v>
      </c>
      <c r="B109" s="7"/>
      <c r="C109" s="199" t="s">
        <v>3546</v>
      </c>
      <c r="D109" s="197" t="s">
        <v>2041</v>
      </c>
      <c r="E109" s="2" t="s">
        <v>3535</v>
      </c>
      <c r="F109" s="2" t="s">
        <v>3536</v>
      </c>
      <c r="G109" s="2" t="s">
        <v>3682</v>
      </c>
      <c r="H109" s="3" t="s">
        <v>3538</v>
      </c>
      <c r="I109" s="197" t="s">
        <v>2464</v>
      </c>
      <c r="J109" s="197" t="s">
        <v>4249</v>
      </c>
      <c r="K109" s="1" t="s">
        <v>1518</v>
      </c>
      <c r="L109" s="1" t="s">
        <v>796</v>
      </c>
      <c r="M109" s="1" t="s">
        <v>1519</v>
      </c>
      <c r="N109" s="3" t="s">
        <v>1520</v>
      </c>
      <c r="O109" s="197" t="s">
        <v>3547</v>
      </c>
      <c r="P109" s="504" t="s">
        <v>421</v>
      </c>
      <c r="Q109" s="1" t="s">
        <v>3548</v>
      </c>
      <c r="R109" s="1" t="s">
        <v>3549</v>
      </c>
      <c r="S109" s="1" t="s">
        <v>3289</v>
      </c>
      <c r="T109" s="3" t="s">
        <v>3550</v>
      </c>
      <c r="V109" s="1"/>
    </row>
    <row r="110" spans="1:22" ht="12.9" customHeight="1" x14ac:dyDescent="0.2">
      <c r="A110" s="7" t="s">
        <v>2814</v>
      </c>
      <c r="B110" s="7"/>
      <c r="C110" s="197" t="s">
        <v>2467</v>
      </c>
      <c r="D110" s="504" t="s">
        <v>2468</v>
      </c>
      <c r="E110" s="1" t="s">
        <v>2469</v>
      </c>
      <c r="F110" s="1" t="s">
        <v>2470</v>
      </c>
      <c r="G110" s="1" t="s">
        <v>2471</v>
      </c>
      <c r="H110" s="1" t="s">
        <v>2472</v>
      </c>
      <c r="I110" s="197" t="s">
        <v>253</v>
      </c>
      <c r="J110" s="197" t="s">
        <v>4230</v>
      </c>
      <c r="K110" s="2" t="s">
        <v>254</v>
      </c>
      <c r="L110" s="1" t="s">
        <v>166</v>
      </c>
      <c r="M110" s="1" t="s">
        <v>255</v>
      </c>
      <c r="N110" s="3" t="s">
        <v>168</v>
      </c>
      <c r="O110" s="197" t="s">
        <v>1527</v>
      </c>
      <c r="P110" s="197" t="s">
        <v>1528</v>
      </c>
      <c r="Q110" s="2" t="s">
        <v>1529</v>
      </c>
      <c r="R110" s="2" t="s">
        <v>2456</v>
      </c>
      <c r="S110" s="2" t="s">
        <v>3543</v>
      </c>
      <c r="T110" s="3" t="s">
        <v>2457</v>
      </c>
    </row>
    <row r="111" spans="1:22" ht="12.9" customHeight="1" x14ac:dyDescent="0.2">
      <c r="A111" s="7" t="s">
        <v>2815</v>
      </c>
      <c r="B111" s="7"/>
      <c r="C111" s="197" t="s">
        <v>3664</v>
      </c>
      <c r="D111" s="197" t="s">
        <v>3665</v>
      </c>
      <c r="E111" s="1" t="s">
        <v>2138</v>
      </c>
      <c r="F111" s="1" t="s">
        <v>3666</v>
      </c>
      <c r="G111" s="1" t="s">
        <v>3667</v>
      </c>
      <c r="H111" s="1" t="s">
        <v>3395</v>
      </c>
      <c r="I111" s="197" t="s">
        <v>803</v>
      </c>
      <c r="J111" s="197" t="s">
        <v>4041</v>
      </c>
      <c r="K111" s="1" t="s">
        <v>171</v>
      </c>
      <c r="L111" s="1" t="s">
        <v>290</v>
      </c>
      <c r="M111" s="1" t="s">
        <v>2369</v>
      </c>
      <c r="N111" s="1" t="s">
        <v>804</v>
      </c>
      <c r="O111" s="197" t="s">
        <v>253</v>
      </c>
      <c r="P111" s="197" t="s">
        <v>4230</v>
      </c>
      <c r="Q111" s="2" t="s">
        <v>254</v>
      </c>
      <c r="R111" s="1" t="s">
        <v>166</v>
      </c>
      <c r="S111" s="1" t="s">
        <v>255</v>
      </c>
      <c r="T111" s="3" t="s">
        <v>168</v>
      </c>
    </row>
    <row r="112" spans="1:22" ht="12.9" customHeight="1" x14ac:dyDescent="0.2">
      <c r="A112" s="7" t="s">
        <v>2819</v>
      </c>
      <c r="B112" s="7"/>
      <c r="C112" s="197" t="s">
        <v>3551</v>
      </c>
      <c r="D112" s="197" t="s">
        <v>4161</v>
      </c>
      <c r="E112" s="1" t="s">
        <v>3552</v>
      </c>
      <c r="F112" s="1" t="s">
        <v>3553</v>
      </c>
      <c r="G112" s="1" t="s">
        <v>3554</v>
      </c>
      <c r="H112" s="1" t="s">
        <v>3555</v>
      </c>
      <c r="I112" s="197" t="s">
        <v>805</v>
      </c>
      <c r="J112" s="197" t="s">
        <v>2733</v>
      </c>
      <c r="K112" s="1" t="s">
        <v>3556</v>
      </c>
      <c r="L112" s="1" t="s">
        <v>3557</v>
      </c>
      <c r="M112" s="1" t="s">
        <v>3558</v>
      </c>
      <c r="N112" s="1" t="s">
        <v>3559</v>
      </c>
      <c r="O112" s="197" t="s">
        <v>3286</v>
      </c>
      <c r="P112" s="197" t="s">
        <v>3718</v>
      </c>
      <c r="Q112" s="1" t="s">
        <v>3288</v>
      </c>
      <c r="R112" s="1" t="s">
        <v>3707</v>
      </c>
      <c r="S112" s="1" t="s">
        <v>3827</v>
      </c>
      <c r="T112" s="3" t="s">
        <v>2171</v>
      </c>
    </row>
    <row r="113" spans="1:20" ht="12.9" customHeight="1" x14ac:dyDescent="0.2">
      <c r="A113" s="7" t="s">
        <v>2825</v>
      </c>
      <c r="B113" s="7"/>
      <c r="C113" s="197" t="s">
        <v>3551</v>
      </c>
      <c r="D113" s="197" t="s">
        <v>4161</v>
      </c>
      <c r="E113" s="1" t="s">
        <v>3552</v>
      </c>
      <c r="F113" s="1" t="s">
        <v>3553</v>
      </c>
      <c r="G113" s="1" t="s">
        <v>3554</v>
      </c>
      <c r="H113" s="1" t="s">
        <v>3555</v>
      </c>
      <c r="I113" s="405" t="s">
        <v>262</v>
      </c>
      <c r="J113" s="197" t="s">
        <v>263</v>
      </c>
      <c r="K113" s="2" t="s">
        <v>264</v>
      </c>
      <c r="L113" s="2" t="s">
        <v>4260</v>
      </c>
      <c r="M113" s="2" t="s">
        <v>2466</v>
      </c>
      <c r="N113" s="2" t="s">
        <v>265</v>
      </c>
      <c r="O113" s="197" t="s">
        <v>253</v>
      </c>
      <c r="P113" s="197" t="s">
        <v>4230</v>
      </c>
      <c r="Q113" s="2" t="s">
        <v>254</v>
      </c>
      <c r="R113" s="1" t="s">
        <v>166</v>
      </c>
      <c r="S113" s="1" t="s">
        <v>255</v>
      </c>
      <c r="T113" s="3" t="s">
        <v>168</v>
      </c>
    </row>
    <row r="114" spans="1:20" ht="12.9" customHeight="1" x14ac:dyDescent="0.2">
      <c r="A114" s="7" t="s">
        <v>3516</v>
      </c>
      <c r="B114" s="7"/>
      <c r="C114" s="197" t="s">
        <v>3560</v>
      </c>
      <c r="D114" s="197" t="s">
        <v>3561</v>
      </c>
      <c r="E114" s="2" t="s">
        <v>3562</v>
      </c>
      <c r="F114" s="2" t="s">
        <v>3553</v>
      </c>
      <c r="G114" s="2" t="s">
        <v>3563</v>
      </c>
      <c r="H114" s="2" t="s">
        <v>3555</v>
      </c>
      <c r="I114" s="197" t="s">
        <v>3564</v>
      </c>
      <c r="J114" s="197" t="s">
        <v>4041</v>
      </c>
      <c r="K114" s="2" t="s">
        <v>4056</v>
      </c>
      <c r="L114" s="2" t="s">
        <v>3565</v>
      </c>
      <c r="M114" s="2" t="s">
        <v>3566</v>
      </c>
      <c r="N114" s="2" t="s">
        <v>4045</v>
      </c>
      <c r="O114" s="197" t="s">
        <v>805</v>
      </c>
      <c r="P114" s="197" t="s">
        <v>2733</v>
      </c>
      <c r="Q114" s="1" t="s">
        <v>3556</v>
      </c>
      <c r="R114" s="1" t="s">
        <v>3557</v>
      </c>
      <c r="S114" s="1" t="s">
        <v>3558</v>
      </c>
      <c r="T114" s="3" t="s">
        <v>3559</v>
      </c>
    </row>
    <row r="115" spans="1:20" ht="12.9" customHeight="1" x14ac:dyDescent="0.2">
      <c r="A115" s="9" t="s">
        <v>3521</v>
      </c>
      <c r="B115" s="9"/>
      <c r="C115" s="198" t="s">
        <v>163</v>
      </c>
      <c r="D115" s="198" t="s">
        <v>164</v>
      </c>
      <c r="E115" s="9" t="s">
        <v>165</v>
      </c>
      <c r="F115" s="4" t="s">
        <v>166</v>
      </c>
      <c r="G115" s="4" t="s">
        <v>167</v>
      </c>
      <c r="H115" s="5" t="s">
        <v>168</v>
      </c>
      <c r="I115" s="198" t="s">
        <v>3564</v>
      </c>
      <c r="J115" s="198" t="s">
        <v>4041</v>
      </c>
      <c r="K115" s="4" t="s">
        <v>4056</v>
      </c>
      <c r="L115" s="4" t="s">
        <v>3565</v>
      </c>
      <c r="M115" s="4" t="s">
        <v>3566</v>
      </c>
      <c r="N115" s="5" t="s">
        <v>4045</v>
      </c>
      <c r="O115" s="497" t="s">
        <v>262</v>
      </c>
      <c r="P115" s="198" t="s">
        <v>263</v>
      </c>
      <c r="Q115" s="4" t="s">
        <v>264</v>
      </c>
      <c r="R115" s="4" t="s">
        <v>4260</v>
      </c>
      <c r="S115" s="4" t="s">
        <v>2466</v>
      </c>
      <c r="T115" s="5" t="s">
        <v>265</v>
      </c>
    </row>
    <row r="117" spans="1:20" ht="15.6" x14ac:dyDescent="0.3">
      <c r="A117" s="671" t="s">
        <v>1284</v>
      </c>
      <c r="B117" s="671"/>
      <c r="C117" s="671"/>
      <c r="D117" s="671"/>
      <c r="E117" s="671"/>
      <c r="F117" s="671"/>
      <c r="G117" s="671"/>
      <c r="H117" s="671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  <c r="S117" s="574"/>
      <c r="T117" s="574"/>
    </row>
    <row r="118" spans="1:20" ht="12.9" customHeight="1" x14ac:dyDescent="0.2">
      <c r="A118" s="509" t="s">
        <v>2012</v>
      </c>
      <c r="B118" s="494"/>
      <c r="C118" s="675" t="str">
        <f>+C192</f>
        <v>Fourth</v>
      </c>
      <c r="D118" s="676"/>
      <c r="E118" s="676"/>
      <c r="F118" s="676"/>
      <c r="G118" s="676"/>
      <c r="H118" s="677"/>
      <c r="I118" s="675" t="str">
        <f>+I192</f>
        <v>Fifth</v>
      </c>
      <c r="J118" s="676"/>
      <c r="K118" s="676"/>
      <c r="L118" s="676"/>
      <c r="M118" s="676"/>
      <c r="N118" s="677"/>
      <c r="O118" s="675" t="str">
        <f>+O192</f>
        <v>Sixth</v>
      </c>
      <c r="P118" s="676"/>
      <c r="Q118" s="676"/>
      <c r="R118" s="676"/>
      <c r="S118" s="676"/>
      <c r="T118" s="677"/>
    </row>
    <row r="119" spans="1:20" ht="12.9" customHeight="1" x14ac:dyDescent="0.2">
      <c r="A119" s="496"/>
      <c r="B119" s="9"/>
      <c r="C119" s="521" t="s">
        <v>1855</v>
      </c>
      <c r="D119" s="498"/>
      <c r="E119" s="4" t="s">
        <v>2017</v>
      </c>
      <c r="F119" s="4" t="s">
        <v>2018</v>
      </c>
      <c r="G119" s="4" t="s">
        <v>2019</v>
      </c>
      <c r="H119" s="5" t="s">
        <v>2020</v>
      </c>
      <c r="I119" s="497"/>
      <c r="J119" s="498"/>
      <c r="K119" s="4" t="s">
        <v>2017</v>
      </c>
      <c r="L119" s="4" t="s">
        <v>2018</v>
      </c>
      <c r="M119" s="4" t="s">
        <v>2019</v>
      </c>
      <c r="N119" s="5" t="s">
        <v>2020</v>
      </c>
      <c r="O119" s="497"/>
      <c r="P119" s="498"/>
      <c r="Q119" s="4" t="s">
        <v>2017</v>
      </c>
      <c r="R119" s="4" t="s">
        <v>2018</v>
      </c>
      <c r="S119" s="4" t="s">
        <v>2019</v>
      </c>
      <c r="T119" s="5" t="s">
        <v>2020</v>
      </c>
    </row>
    <row r="120" spans="1:20" ht="12.9" customHeight="1" x14ac:dyDescent="0.2">
      <c r="A120" s="505" t="str">
        <f>+'Past Quartets 1st - 3rd Place'!A120</f>
        <v>2007 P</v>
      </c>
      <c r="B120" s="3">
        <f>+'Past Quartets 1st - 3rd Place'!B120</f>
        <v>3</v>
      </c>
      <c r="C120" s="197" t="s">
        <v>3215</v>
      </c>
      <c r="D120" s="504" t="s">
        <v>3215</v>
      </c>
      <c r="E120" s="518" t="s">
        <v>3215</v>
      </c>
      <c r="F120" s="417" t="s">
        <v>3215</v>
      </c>
      <c r="G120" s="417" t="s">
        <v>3215</v>
      </c>
      <c r="H120" s="404" t="s">
        <v>3215</v>
      </c>
      <c r="I120" s="504" t="s">
        <v>3215</v>
      </c>
      <c r="J120" s="504" t="s">
        <v>3215</v>
      </c>
      <c r="K120" s="2" t="s">
        <v>3215</v>
      </c>
      <c r="L120" s="2" t="s">
        <v>3215</v>
      </c>
      <c r="M120" s="2" t="s">
        <v>3215</v>
      </c>
      <c r="N120" s="3" t="s">
        <v>3215</v>
      </c>
      <c r="O120" s="197" t="s">
        <v>3215</v>
      </c>
      <c r="P120" s="504" t="s">
        <v>3215</v>
      </c>
      <c r="Q120" s="518" t="s">
        <v>3215</v>
      </c>
      <c r="R120" s="417" t="s">
        <v>3215</v>
      </c>
      <c r="S120" s="417" t="s">
        <v>3215</v>
      </c>
      <c r="T120" s="404" t="s">
        <v>3215</v>
      </c>
    </row>
    <row r="121" spans="1:20" s="507" customFormat="1" ht="12.9" customHeight="1" x14ac:dyDescent="0.2">
      <c r="A121" s="505" t="str">
        <f>+'Past Quartets 1st - 3rd Place'!A121</f>
        <v>2008 P</v>
      </c>
      <c r="B121" s="3">
        <f>+'Past Quartets 1st - 3rd Place'!B121</f>
        <v>2</v>
      </c>
      <c r="C121" s="197" t="s">
        <v>3215</v>
      </c>
      <c r="D121" s="504" t="s">
        <v>3215</v>
      </c>
      <c r="E121" s="7" t="s">
        <v>3215</v>
      </c>
      <c r="F121" s="2" t="s">
        <v>3215</v>
      </c>
      <c r="G121" s="2" t="s">
        <v>3215</v>
      </c>
      <c r="H121" s="3" t="s">
        <v>3215</v>
      </c>
      <c r="I121" s="504" t="s">
        <v>3215</v>
      </c>
      <c r="J121" s="504" t="s">
        <v>3215</v>
      </c>
      <c r="K121" s="2" t="s">
        <v>3215</v>
      </c>
      <c r="L121" s="2" t="s">
        <v>3215</v>
      </c>
      <c r="M121" s="2" t="s">
        <v>3215</v>
      </c>
      <c r="N121" s="3" t="s">
        <v>3215</v>
      </c>
      <c r="O121" s="197" t="s">
        <v>3215</v>
      </c>
      <c r="P121" s="504" t="s">
        <v>3215</v>
      </c>
      <c r="Q121" s="7" t="s">
        <v>3215</v>
      </c>
      <c r="R121" s="2" t="s">
        <v>3215</v>
      </c>
      <c r="S121" s="2" t="s">
        <v>3215</v>
      </c>
      <c r="T121" s="3" t="s">
        <v>3215</v>
      </c>
    </row>
    <row r="122" spans="1:20" s="507" customFormat="1" ht="12.9" customHeight="1" x14ac:dyDescent="0.2">
      <c r="A122" s="505" t="str">
        <f>+'Past Quartets 1st - 3rd Place'!A122</f>
        <v>2009 P</v>
      </c>
      <c r="B122" s="3">
        <f>+'Past Quartets 1st - 3rd Place'!B122</f>
        <v>3</v>
      </c>
      <c r="C122" s="197" t="s">
        <v>3215</v>
      </c>
      <c r="D122" s="504" t="s">
        <v>3215</v>
      </c>
      <c r="E122" s="7" t="s">
        <v>3215</v>
      </c>
      <c r="F122" s="2" t="s">
        <v>3215</v>
      </c>
      <c r="G122" s="2" t="s">
        <v>3215</v>
      </c>
      <c r="H122" s="3" t="s">
        <v>3215</v>
      </c>
      <c r="I122" s="504" t="s">
        <v>3215</v>
      </c>
      <c r="J122" s="504" t="s">
        <v>3215</v>
      </c>
      <c r="K122" s="2" t="s">
        <v>3215</v>
      </c>
      <c r="L122" s="2" t="s">
        <v>3215</v>
      </c>
      <c r="M122" s="2" t="s">
        <v>3215</v>
      </c>
      <c r="N122" s="3" t="s">
        <v>3215</v>
      </c>
      <c r="O122" s="197" t="s">
        <v>3215</v>
      </c>
      <c r="P122" s="504" t="s">
        <v>3215</v>
      </c>
      <c r="Q122" s="7" t="s">
        <v>3215</v>
      </c>
      <c r="R122" s="2" t="s">
        <v>3215</v>
      </c>
      <c r="S122" s="2" t="s">
        <v>3215</v>
      </c>
      <c r="T122" s="3" t="s">
        <v>3215</v>
      </c>
    </row>
    <row r="123" spans="1:20" s="507" customFormat="1" ht="12.9" customHeight="1" x14ac:dyDescent="0.2">
      <c r="A123" s="505" t="str">
        <f>+'Past Quartets 1st - 3rd Place'!A123</f>
        <v>2010 P</v>
      </c>
      <c r="B123" s="3">
        <f>+'Past Quartets 1st - 3rd Place'!B123</f>
        <v>2</v>
      </c>
      <c r="C123" s="197" t="s">
        <v>3215</v>
      </c>
      <c r="D123" s="504" t="s">
        <v>3215</v>
      </c>
      <c r="E123" s="7" t="s">
        <v>3215</v>
      </c>
      <c r="F123" s="2" t="s">
        <v>3215</v>
      </c>
      <c r="G123" s="2" t="s">
        <v>3215</v>
      </c>
      <c r="H123" s="3" t="s">
        <v>3215</v>
      </c>
      <c r="I123" s="504" t="s">
        <v>3215</v>
      </c>
      <c r="J123" s="504" t="s">
        <v>3215</v>
      </c>
      <c r="K123" s="2" t="s">
        <v>3215</v>
      </c>
      <c r="L123" s="2" t="s">
        <v>3215</v>
      </c>
      <c r="M123" s="2" t="s">
        <v>3215</v>
      </c>
      <c r="N123" s="3" t="s">
        <v>3215</v>
      </c>
      <c r="O123" s="197" t="s">
        <v>3215</v>
      </c>
      <c r="P123" s="504" t="s">
        <v>3215</v>
      </c>
      <c r="Q123" s="7" t="s">
        <v>3215</v>
      </c>
      <c r="R123" s="2" t="s">
        <v>3215</v>
      </c>
      <c r="S123" s="2" t="s">
        <v>3215</v>
      </c>
      <c r="T123" s="3" t="s">
        <v>3215</v>
      </c>
    </row>
    <row r="124" spans="1:20" s="507" customFormat="1" ht="12.9" customHeight="1" x14ac:dyDescent="0.2">
      <c r="A124" s="505" t="str">
        <f>+'Past Quartets 1st - 3rd Place'!A124</f>
        <v>2011 P</v>
      </c>
      <c r="B124" s="3">
        <f>+'Past Quartets 1st - 3rd Place'!B124</f>
        <v>6</v>
      </c>
      <c r="C124" s="197" t="s">
        <v>1551</v>
      </c>
      <c r="D124" s="504" t="s">
        <v>1035</v>
      </c>
      <c r="E124" s="550" t="s">
        <v>4309</v>
      </c>
      <c r="F124" s="534" t="s">
        <v>4310</v>
      </c>
      <c r="G124" s="534" t="s">
        <v>4311</v>
      </c>
      <c r="H124" s="479" t="s">
        <v>941</v>
      </c>
      <c r="I124" s="504" t="s">
        <v>1287</v>
      </c>
      <c r="J124" s="504" t="s">
        <v>4041</v>
      </c>
      <c r="K124" s="2" t="s">
        <v>1288</v>
      </c>
      <c r="L124" s="2" t="s">
        <v>1289</v>
      </c>
      <c r="M124" s="2" t="s">
        <v>1290</v>
      </c>
      <c r="N124" s="3" t="s">
        <v>1291</v>
      </c>
      <c r="O124" s="197" t="s">
        <v>3995</v>
      </c>
      <c r="P124" s="504" t="s">
        <v>1035</v>
      </c>
      <c r="Q124" s="550" t="s">
        <v>4312</v>
      </c>
      <c r="R124" s="534" t="s">
        <v>4313</v>
      </c>
      <c r="S124" s="534" t="s">
        <v>4314</v>
      </c>
      <c r="T124" s="479" t="s">
        <v>4315</v>
      </c>
    </row>
    <row r="125" spans="1:20" s="507" customFormat="1" ht="12.9" customHeight="1" x14ac:dyDescent="0.2">
      <c r="A125" s="505" t="str">
        <f>+'Past Quartets 1st - 3rd Place'!A125</f>
        <v>2012 P</v>
      </c>
      <c r="B125" s="3">
        <f>+'Past Quartets 1st - 3rd Place'!B125</f>
        <v>6</v>
      </c>
      <c r="C125" s="197" t="s">
        <v>3996</v>
      </c>
      <c r="D125" s="504" t="s">
        <v>1523</v>
      </c>
      <c r="E125" s="7" t="s">
        <v>833</v>
      </c>
      <c r="F125" s="2" t="s">
        <v>834</v>
      </c>
      <c r="G125" s="2" t="s">
        <v>835</v>
      </c>
      <c r="H125" s="3" t="s">
        <v>836</v>
      </c>
      <c r="I125" s="504" t="s">
        <v>58</v>
      </c>
      <c r="J125" s="197" t="s">
        <v>730</v>
      </c>
      <c r="K125" s="7" t="s">
        <v>417</v>
      </c>
      <c r="L125" s="2" t="s">
        <v>59</v>
      </c>
      <c r="M125" s="2" t="s">
        <v>60</v>
      </c>
      <c r="N125" s="3" t="s">
        <v>61</v>
      </c>
      <c r="O125" s="197" t="s">
        <v>80</v>
      </c>
      <c r="P125" s="197" t="s">
        <v>2294</v>
      </c>
      <c r="Q125" s="7" t="s">
        <v>81</v>
      </c>
      <c r="R125" s="2" t="s">
        <v>1291</v>
      </c>
      <c r="S125" s="2" t="s">
        <v>82</v>
      </c>
      <c r="T125" s="3" t="s">
        <v>83</v>
      </c>
    </row>
    <row r="126" spans="1:20" s="507" customFormat="1" ht="12.9" customHeight="1" x14ac:dyDescent="0.2">
      <c r="A126" s="505" t="str">
        <f>+'Past Quartets 1st - 3rd Place'!A126</f>
        <v>2013 P</v>
      </c>
      <c r="B126" s="3">
        <f>+'Past Quartets 1st - 3rd Place'!B126</f>
        <v>3</v>
      </c>
      <c r="C126" s="197" t="s">
        <v>3215</v>
      </c>
      <c r="D126" s="504" t="s">
        <v>3215</v>
      </c>
      <c r="E126" s="7" t="s">
        <v>3215</v>
      </c>
      <c r="F126" s="2" t="s">
        <v>3215</v>
      </c>
      <c r="G126" s="2" t="s">
        <v>3215</v>
      </c>
      <c r="H126" s="3" t="s">
        <v>3215</v>
      </c>
      <c r="I126" s="504" t="s">
        <v>3215</v>
      </c>
      <c r="J126" s="504" t="s">
        <v>3215</v>
      </c>
      <c r="K126" s="2" t="s">
        <v>3215</v>
      </c>
      <c r="L126" s="2" t="s">
        <v>3215</v>
      </c>
      <c r="M126" s="2" t="s">
        <v>3215</v>
      </c>
      <c r="N126" s="3" t="s">
        <v>3215</v>
      </c>
      <c r="O126" s="197" t="s">
        <v>3215</v>
      </c>
      <c r="P126" s="504" t="s">
        <v>3215</v>
      </c>
      <c r="Q126" s="7" t="s">
        <v>3215</v>
      </c>
      <c r="R126" s="2" t="s">
        <v>3215</v>
      </c>
      <c r="S126" s="2" t="s">
        <v>3215</v>
      </c>
      <c r="T126" s="3" t="s">
        <v>3215</v>
      </c>
    </row>
    <row r="127" spans="1:20" s="507" customFormat="1" ht="12.9" customHeight="1" x14ac:dyDescent="0.2">
      <c r="A127" s="505" t="str">
        <f>+'Past Quartets 1st - 3rd Place'!A127</f>
        <v>2014 P</v>
      </c>
      <c r="B127" s="3">
        <f>+'Past Quartets 1st - 3rd Place'!B127</f>
        <v>7</v>
      </c>
      <c r="C127" s="197" t="s">
        <v>919</v>
      </c>
      <c r="D127" s="504" t="s">
        <v>1035</v>
      </c>
      <c r="E127" s="550" t="s">
        <v>1062</v>
      </c>
      <c r="F127" s="534" t="s">
        <v>1063</v>
      </c>
      <c r="G127" s="534" t="s">
        <v>1072</v>
      </c>
      <c r="H127" s="479" t="s">
        <v>1064</v>
      </c>
      <c r="I127" s="504" t="s">
        <v>920</v>
      </c>
      <c r="J127" s="504" t="s">
        <v>517</v>
      </c>
      <c r="K127" s="2" t="s">
        <v>921</v>
      </c>
      <c r="L127" s="2" t="s">
        <v>922</v>
      </c>
      <c r="M127" s="2" t="s">
        <v>923</v>
      </c>
      <c r="N127" s="3" t="s">
        <v>924</v>
      </c>
      <c r="O127" s="197" t="s">
        <v>925</v>
      </c>
      <c r="P127" s="504" t="s">
        <v>926</v>
      </c>
      <c r="Q127" s="7" t="s">
        <v>2893</v>
      </c>
      <c r="R127" s="2" t="s">
        <v>83</v>
      </c>
      <c r="S127" s="2" t="s">
        <v>927</v>
      </c>
      <c r="T127" s="3" t="s">
        <v>2896</v>
      </c>
    </row>
    <row r="128" spans="1:20" s="507" customFormat="1" ht="12.9" customHeight="1" x14ac:dyDescent="0.2">
      <c r="A128" s="505" t="str">
        <f>+'Past Quartets 1st - 3rd Place'!A128</f>
        <v>2015 P</v>
      </c>
      <c r="B128" s="3">
        <f>+'Past Quartets 1st - 3rd Place'!B128</f>
        <v>6</v>
      </c>
      <c r="C128" s="197" t="s">
        <v>1092</v>
      </c>
      <c r="D128" s="197" t="s">
        <v>1095</v>
      </c>
      <c r="E128" s="7" t="s">
        <v>1093</v>
      </c>
      <c r="F128" s="2" t="s">
        <v>1291</v>
      </c>
      <c r="G128" s="2" t="s">
        <v>1094</v>
      </c>
      <c r="H128" s="3" t="s">
        <v>81</v>
      </c>
      <c r="I128" s="504" t="s">
        <v>1103</v>
      </c>
      <c r="J128" s="261" t="s">
        <v>1104</v>
      </c>
      <c r="K128" s="27" t="s">
        <v>1105</v>
      </c>
      <c r="L128" s="27" t="s">
        <v>1106</v>
      </c>
      <c r="M128" s="27" t="s">
        <v>1107</v>
      </c>
      <c r="N128" s="28" t="s">
        <v>1108</v>
      </c>
      <c r="O128" s="197" t="s">
        <v>1148</v>
      </c>
      <c r="P128" s="197" t="s">
        <v>1113</v>
      </c>
      <c r="Q128" s="7" t="s">
        <v>1115</v>
      </c>
      <c r="R128" s="2" t="s">
        <v>1116</v>
      </c>
      <c r="S128" s="2" t="s">
        <v>1117</v>
      </c>
      <c r="T128" s="3" t="s">
        <v>1118</v>
      </c>
    </row>
    <row r="129" spans="1:41" s="507" customFormat="1" ht="12.9" customHeight="1" x14ac:dyDescent="0.2">
      <c r="A129" s="505" t="str">
        <f>+'Past Quartets 1st - 3rd Place'!A129</f>
        <v>2016 P</v>
      </c>
      <c r="B129" s="3">
        <f>+'Past Quartets 1st - 3rd Place'!B129</f>
        <v>7</v>
      </c>
      <c r="C129" s="197" t="s">
        <v>1103</v>
      </c>
      <c r="D129" s="261" t="s">
        <v>1104</v>
      </c>
      <c r="E129" s="27" t="s">
        <v>1105</v>
      </c>
      <c r="F129" s="27" t="s">
        <v>1106</v>
      </c>
      <c r="G129" s="27" t="s">
        <v>1107</v>
      </c>
      <c r="H129" s="28" t="s">
        <v>1108</v>
      </c>
      <c r="I129" s="197" t="s">
        <v>1148</v>
      </c>
      <c r="J129" s="197" t="s">
        <v>1113</v>
      </c>
      <c r="K129" s="7" t="s">
        <v>1115</v>
      </c>
      <c r="L129" s="2" t="s">
        <v>1116</v>
      </c>
      <c r="M129" s="2" t="s">
        <v>1117</v>
      </c>
      <c r="N129" s="3" t="s">
        <v>1118</v>
      </c>
      <c r="O129" s="197" t="s">
        <v>4349</v>
      </c>
      <c r="P129" s="197" t="s">
        <v>4399</v>
      </c>
      <c r="Q129" s="2" t="s">
        <v>4350</v>
      </c>
      <c r="R129" s="2" t="s">
        <v>83</v>
      </c>
      <c r="S129" s="2" t="s">
        <v>927</v>
      </c>
      <c r="T129" s="3" t="s">
        <v>4351</v>
      </c>
    </row>
    <row r="130" spans="1:41" s="507" customFormat="1" ht="12.9" customHeight="1" x14ac:dyDescent="0.2">
      <c r="A130" s="505" t="str">
        <f>+'Past Quartets 1st - 3rd Place'!A130</f>
        <v>2017 P</v>
      </c>
      <c r="B130" s="3">
        <f>+'Past Quartets 1st - 3rd Place'!B130</f>
        <v>3</v>
      </c>
      <c r="C130" s="197"/>
      <c r="D130" s="261"/>
      <c r="E130" s="27"/>
      <c r="F130" s="27"/>
      <c r="G130" s="27"/>
      <c r="H130" s="28"/>
      <c r="I130" s="197"/>
      <c r="J130" s="197"/>
      <c r="K130" s="7"/>
      <c r="L130" s="2"/>
      <c r="M130" s="2"/>
      <c r="N130" s="3"/>
      <c r="O130" s="197"/>
      <c r="P130" s="197"/>
      <c r="Q130" s="2"/>
      <c r="R130" s="2"/>
      <c r="S130" s="2"/>
      <c r="T130" s="3"/>
    </row>
    <row r="131" spans="1:41" s="507" customFormat="1" ht="12.9" customHeight="1" x14ac:dyDescent="0.2">
      <c r="A131" s="505" t="str">
        <f>+'Past Quartets 1st - 3rd Place'!A131</f>
        <v>2018 P</v>
      </c>
      <c r="B131" s="3">
        <f>+'Past Quartets 1st - 3rd Place'!B131</f>
        <v>3</v>
      </c>
      <c r="C131" s="197"/>
      <c r="D131" s="261"/>
      <c r="E131" s="27"/>
      <c r="F131" s="27"/>
      <c r="G131" s="27"/>
      <c r="H131" s="28"/>
      <c r="I131" s="197"/>
      <c r="J131" s="197"/>
      <c r="K131" s="7"/>
      <c r="L131" s="2"/>
      <c r="M131" s="2"/>
      <c r="N131" s="3"/>
      <c r="O131" s="197"/>
      <c r="P131" s="197"/>
      <c r="Q131" s="2"/>
      <c r="R131" s="2"/>
      <c r="S131" s="2"/>
      <c r="T131" s="3"/>
    </row>
    <row r="132" spans="1:41" s="507" customFormat="1" ht="12.9" customHeight="1" x14ac:dyDescent="0.2">
      <c r="A132" s="496"/>
      <c r="B132" s="496"/>
      <c r="C132" s="198"/>
      <c r="D132" s="198"/>
      <c r="E132" s="9"/>
      <c r="F132" s="4"/>
      <c r="G132" s="4"/>
      <c r="H132" s="5"/>
      <c r="I132" s="506"/>
      <c r="J132" s="198"/>
      <c r="K132" s="9"/>
      <c r="L132" s="4"/>
      <c r="M132" s="4"/>
      <c r="N132" s="5"/>
      <c r="O132" s="198"/>
      <c r="P132" s="198"/>
      <c r="Q132" s="9"/>
      <c r="R132" s="4"/>
      <c r="S132" s="4"/>
      <c r="T132" s="5"/>
    </row>
    <row r="137" spans="1:41" ht="12.9" customHeight="1" x14ac:dyDescent="0.2">
      <c r="A137" s="2"/>
      <c r="B137" s="2"/>
      <c r="C137" s="280"/>
      <c r="D137" s="280"/>
      <c r="E137" s="2"/>
      <c r="F137" s="2"/>
      <c r="G137" s="2"/>
      <c r="H137" s="2"/>
      <c r="I137" s="280"/>
      <c r="J137" s="280"/>
      <c r="K137" s="2"/>
      <c r="L137" s="2"/>
      <c r="M137" s="2"/>
      <c r="N137" s="2"/>
      <c r="O137" s="280"/>
      <c r="P137" s="280"/>
      <c r="Q137" s="2"/>
      <c r="R137" s="2"/>
      <c r="S137" s="2"/>
      <c r="T137" s="2"/>
      <c r="V137" s="495"/>
      <c r="W137" s="495"/>
      <c r="X137" s="495"/>
      <c r="Y137" s="495"/>
      <c r="Z137" s="495"/>
      <c r="AA137" s="495"/>
      <c r="AB137" s="495"/>
      <c r="AC137" s="495"/>
      <c r="AD137" s="495"/>
      <c r="AE137" s="495"/>
      <c r="AF137" s="495"/>
      <c r="AG137" s="495"/>
      <c r="AH137" s="495"/>
      <c r="AI137" s="495"/>
      <c r="AJ137" s="495"/>
      <c r="AK137" s="495"/>
      <c r="AL137" s="495"/>
      <c r="AM137" s="495"/>
      <c r="AN137" s="495"/>
      <c r="AO137" s="495"/>
    </row>
    <row r="138" spans="1:41" ht="12.9" customHeight="1" x14ac:dyDescent="0.2">
      <c r="A138" s="2"/>
      <c r="B138" s="2"/>
      <c r="C138" s="280"/>
      <c r="D138" s="280"/>
      <c r="E138" s="2"/>
      <c r="F138" s="2"/>
      <c r="G138" s="2"/>
      <c r="H138" s="2"/>
      <c r="I138" s="280"/>
      <c r="J138" s="280"/>
      <c r="K138" s="2"/>
      <c r="L138" s="2"/>
      <c r="M138" s="2"/>
      <c r="N138" s="2"/>
      <c r="O138" s="280"/>
      <c r="P138" s="280"/>
      <c r="Q138" s="2"/>
      <c r="R138" s="2"/>
      <c r="S138" s="2"/>
      <c r="T138" s="2"/>
      <c r="V138" s="495"/>
      <c r="W138" s="495"/>
      <c r="X138" s="495"/>
      <c r="Y138" s="495"/>
      <c r="Z138" s="495"/>
      <c r="AA138" s="495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</row>
    <row r="139" spans="1:41" ht="12.9" customHeight="1" x14ac:dyDescent="0.2">
      <c r="A139" s="2"/>
      <c r="B139" s="2"/>
      <c r="C139" s="280"/>
      <c r="D139" s="280"/>
      <c r="E139" s="2"/>
      <c r="F139" s="2"/>
      <c r="G139" s="2"/>
      <c r="H139" s="2"/>
      <c r="I139" s="280"/>
      <c r="J139" s="280"/>
      <c r="K139" s="2"/>
      <c r="L139" s="2"/>
      <c r="M139" s="2"/>
      <c r="N139" s="2"/>
      <c r="O139" s="280"/>
      <c r="P139" s="280"/>
      <c r="Q139" s="2"/>
      <c r="R139" s="2"/>
      <c r="S139" s="2"/>
      <c r="T139" s="2"/>
      <c r="V139" s="495"/>
      <c r="W139" s="495"/>
      <c r="X139" s="495"/>
      <c r="Y139" s="495"/>
      <c r="Z139" s="495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495"/>
      <c r="AK139" s="495"/>
      <c r="AL139" s="495"/>
      <c r="AM139" s="495"/>
      <c r="AN139" s="495"/>
      <c r="AO139" s="495"/>
    </row>
    <row r="140" spans="1:41" ht="12.9" customHeight="1" x14ac:dyDescent="0.2">
      <c r="A140" s="2"/>
      <c r="B140" s="2"/>
      <c r="C140" s="280"/>
      <c r="D140" s="280"/>
      <c r="E140" s="2"/>
      <c r="F140" s="2"/>
      <c r="G140" s="2"/>
      <c r="H140" s="2"/>
      <c r="I140" s="280"/>
      <c r="J140" s="280"/>
      <c r="K140" s="2"/>
      <c r="L140" s="2"/>
      <c r="M140" s="2"/>
      <c r="N140" s="2"/>
      <c r="O140" s="280"/>
      <c r="P140" s="280"/>
      <c r="Q140" s="2"/>
      <c r="R140" s="2"/>
      <c r="S140" s="2"/>
      <c r="T140" s="2"/>
      <c r="V140" s="495"/>
      <c r="W140" s="495"/>
      <c r="X140" s="495"/>
      <c r="Y140" s="495"/>
      <c r="Z140" s="495"/>
      <c r="AA140" s="495"/>
      <c r="AB140" s="495"/>
      <c r="AC140" s="495"/>
      <c r="AD140" s="495"/>
      <c r="AE140" s="495"/>
      <c r="AF140" s="495"/>
      <c r="AG140" s="495"/>
      <c r="AH140" s="495"/>
      <c r="AI140" s="495"/>
      <c r="AJ140" s="495"/>
      <c r="AK140" s="495"/>
      <c r="AL140" s="495"/>
      <c r="AM140" s="495"/>
      <c r="AN140" s="495"/>
      <c r="AO140" s="495"/>
    </row>
    <row r="141" spans="1:41" ht="12.9" customHeight="1" x14ac:dyDescent="0.2">
      <c r="A141" s="2"/>
      <c r="B141" s="2"/>
      <c r="C141" s="280"/>
      <c r="D141" s="280"/>
      <c r="E141" s="2"/>
      <c r="F141" s="2"/>
      <c r="G141" s="2"/>
      <c r="H141" s="2"/>
      <c r="I141" s="280"/>
      <c r="J141" s="280"/>
      <c r="K141" s="2"/>
      <c r="L141" s="2"/>
      <c r="M141" s="2"/>
      <c r="N141" s="2"/>
      <c r="O141" s="280"/>
      <c r="P141" s="280"/>
      <c r="Q141" s="2"/>
      <c r="R141" s="2"/>
      <c r="S141" s="2"/>
      <c r="T141" s="2"/>
      <c r="V141" s="495"/>
      <c r="W141" s="495"/>
      <c r="X141" s="495"/>
      <c r="Y141" s="495"/>
      <c r="Z141" s="495"/>
      <c r="AA141" s="495"/>
      <c r="AB141" s="495"/>
      <c r="AC141" s="495"/>
      <c r="AD141" s="495"/>
      <c r="AE141" s="495"/>
      <c r="AF141" s="495"/>
      <c r="AG141" s="495"/>
      <c r="AH141" s="495"/>
      <c r="AI141" s="495"/>
      <c r="AJ141" s="495"/>
      <c r="AK141" s="495"/>
      <c r="AL141" s="495"/>
      <c r="AM141" s="495"/>
      <c r="AN141" s="495"/>
      <c r="AO141" s="495"/>
    </row>
    <row r="142" spans="1:41" ht="12.9" customHeight="1" x14ac:dyDescent="0.2">
      <c r="A142" s="2"/>
      <c r="B142" s="2"/>
      <c r="C142" s="280"/>
      <c r="D142" s="280"/>
      <c r="E142" s="2"/>
      <c r="F142" s="2"/>
      <c r="G142" s="2"/>
      <c r="H142" s="2"/>
      <c r="I142" s="280"/>
      <c r="J142" s="280"/>
      <c r="K142" s="2"/>
      <c r="L142" s="2"/>
      <c r="M142" s="2"/>
      <c r="N142" s="2"/>
      <c r="O142" s="280"/>
      <c r="P142" s="280"/>
      <c r="Q142" s="2"/>
      <c r="R142" s="2"/>
      <c r="S142" s="2"/>
      <c r="T142" s="2"/>
      <c r="V142" s="495"/>
      <c r="W142" s="495"/>
      <c r="X142" s="495"/>
      <c r="Y142" s="495"/>
      <c r="Z142" s="495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</row>
    <row r="143" spans="1:41" ht="12.9" customHeight="1" x14ac:dyDescent="0.2">
      <c r="A143" s="2"/>
      <c r="B143" s="2"/>
      <c r="C143" s="280"/>
      <c r="D143" s="280"/>
      <c r="E143" s="2"/>
      <c r="F143" s="2"/>
      <c r="G143" s="2"/>
      <c r="H143" s="2"/>
      <c r="I143" s="280"/>
      <c r="J143" s="280"/>
      <c r="K143" s="2"/>
      <c r="L143" s="2"/>
      <c r="M143" s="2"/>
      <c r="N143" s="2"/>
      <c r="O143" s="280"/>
      <c r="P143" s="280"/>
      <c r="Q143" s="2"/>
      <c r="R143" s="2"/>
      <c r="S143" s="2"/>
      <c r="T143" s="2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G143" s="495"/>
      <c r="AH143" s="495"/>
      <c r="AI143" s="495"/>
      <c r="AJ143" s="495"/>
      <c r="AK143" s="495"/>
      <c r="AL143" s="495"/>
      <c r="AM143" s="495"/>
      <c r="AN143" s="495"/>
      <c r="AO143" s="495"/>
    </row>
    <row r="144" spans="1:41" ht="12.9" customHeight="1" x14ac:dyDescent="0.2">
      <c r="A144" s="2"/>
      <c r="B144" s="2"/>
      <c r="C144" s="280"/>
      <c r="D144" s="280"/>
      <c r="E144" s="2"/>
      <c r="F144" s="2"/>
      <c r="G144" s="2"/>
      <c r="H144" s="2"/>
      <c r="I144" s="280"/>
      <c r="J144" s="280"/>
      <c r="K144" s="2"/>
      <c r="L144" s="2"/>
      <c r="M144" s="2"/>
      <c r="N144" s="2"/>
      <c r="O144" s="280"/>
      <c r="P144" s="280"/>
      <c r="Q144" s="2"/>
      <c r="R144" s="2"/>
      <c r="S144" s="2"/>
      <c r="T144" s="2"/>
      <c r="V144" s="495"/>
      <c r="W144" s="495"/>
      <c r="X144" s="495"/>
      <c r="Y144" s="495"/>
      <c r="Z144" s="495"/>
      <c r="AA144" s="495"/>
      <c r="AB144" s="495"/>
      <c r="AC144" s="495"/>
      <c r="AD144" s="495"/>
      <c r="AE144" s="495"/>
      <c r="AF144" s="495"/>
      <c r="AG144" s="495"/>
      <c r="AH144" s="495"/>
      <c r="AI144" s="495"/>
      <c r="AJ144" s="495"/>
      <c r="AK144" s="495"/>
      <c r="AL144" s="495"/>
      <c r="AM144" s="495"/>
      <c r="AN144" s="495"/>
      <c r="AO144" s="495"/>
    </row>
    <row r="145" spans="1:41" ht="12.9" customHeight="1" x14ac:dyDescent="0.2">
      <c r="A145" s="2"/>
      <c r="B145" s="2"/>
      <c r="C145" s="280"/>
      <c r="D145" s="280"/>
      <c r="E145" s="2"/>
      <c r="F145" s="2"/>
      <c r="G145" s="2"/>
      <c r="H145" s="2"/>
      <c r="I145" s="280"/>
      <c r="J145" s="280"/>
      <c r="K145" s="2"/>
      <c r="L145" s="2"/>
      <c r="M145" s="2"/>
      <c r="N145" s="2"/>
      <c r="O145" s="280"/>
      <c r="P145" s="280"/>
      <c r="Q145" s="2"/>
      <c r="R145" s="2"/>
      <c r="S145" s="2"/>
      <c r="T145" s="2"/>
      <c r="V145" s="495"/>
      <c r="W145" s="495"/>
      <c r="X145" s="495"/>
      <c r="Y145" s="495"/>
      <c r="Z145" s="495"/>
      <c r="AA145" s="495"/>
      <c r="AB145" s="495"/>
      <c r="AC145" s="495"/>
      <c r="AD145" s="495"/>
      <c r="AE145" s="495"/>
      <c r="AF145" s="495"/>
      <c r="AG145" s="495"/>
      <c r="AH145" s="495"/>
      <c r="AI145" s="495"/>
      <c r="AJ145" s="495"/>
      <c r="AK145" s="495"/>
      <c r="AL145" s="495"/>
      <c r="AM145" s="495"/>
      <c r="AN145" s="495"/>
      <c r="AO145" s="495"/>
    </row>
    <row r="146" spans="1:41" ht="12.9" customHeight="1" x14ac:dyDescent="0.2">
      <c r="A146" s="2"/>
      <c r="B146" s="2"/>
      <c r="C146" s="280"/>
      <c r="D146" s="280"/>
      <c r="E146" s="2"/>
      <c r="F146" s="2"/>
      <c r="G146" s="2"/>
      <c r="H146" s="2"/>
      <c r="I146" s="280"/>
      <c r="J146" s="280"/>
      <c r="K146" s="2"/>
      <c r="L146" s="2"/>
      <c r="M146" s="2"/>
      <c r="N146" s="2"/>
      <c r="O146" s="280"/>
      <c r="P146" s="280"/>
      <c r="Q146" s="2"/>
      <c r="R146" s="2"/>
      <c r="S146" s="2"/>
      <c r="T146" s="2"/>
      <c r="V146" s="495"/>
      <c r="W146" s="495"/>
      <c r="X146" s="495"/>
      <c r="Y146" s="495"/>
      <c r="Z146" s="495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</row>
    <row r="147" spans="1:41" ht="12.9" customHeight="1" x14ac:dyDescent="0.2">
      <c r="A147" s="2"/>
      <c r="B147" s="2"/>
      <c r="C147" s="280"/>
      <c r="D147" s="280"/>
      <c r="E147" s="2"/>
      <c r="F147" s="2"/>
      <c r="G147" s="2"/>
      <c r="H147" s="2"/>
      <c r="I147" s="280"/>
      <c r="J147" s="280"/>
      <c r="K147" s="2"/>
      <c r="L147" s="2"/>
      <c r="M147" s="2"/>
      <c r="N147" s="2"/>
      <c r="O147" s="280"/>
      <c r="P147" s="280"/>
      <c r="Q147" s="2"/>
      <c r="R147" s="2"/>
      <c r="S147" s="2"/>
      <c r="T147" s="2"/>
      <c r="V147" s="495"/>
      <c r="W147" s="495"/>
      <c r="X147" s="495"/>
      <c r="Y147" s="495"/>
      <c r="Z147" s="495"/>
      <c r="AA147" s="495"/>
      <c r="AB147" s="495"/>
      <c r="AC147" s="495"/>
      <c r="AD147" s="495"/>
      <c r="AE147" s="495"/>
      <c r="AF147" s="495"/>
      <c r="AG147" s="495"/>
      <c r="AH147" s="495"/>
      <c r="AI147" s="495"/>
      <c r="AJ147" s="495"/>
      <c r="AK147" s="495"/>
      <c r="AL147" s="495"/>
      <c r="AM147" s="495"/>
      <c r="AN147" s="495"/>
      <c r="AO147" s="495"/>
    </row>
    <row r="148" spans="1:41" ht="12.9" customHeight="1" x14ac:dyDescent="0.2">
      <c r="A148" s="2"/>
      <c r="B148" s="2"/>
      <c r="C148" s="280"/>
      <c r="D148" s="280"/>
      <c r="E148" s="2"/>
      <c r="F148" s="2"/>
      <c r="G148" s="2"/>
      <c r="H148" s="2"/>
      <c r="I148" s="280"/>
      <c r="J148" s="280"/>
      <c r="K148" s="2"/>
      <c r="L148" s="2"/>
      <c r="M148" s="2"/>
      <c r="N148" s="2"/>
      <c r="O148" s="280"/>
      <c r="P148" s="280"/>
      <c r="Q148" s="2"/>
      <c r="R148" s="2"/>
      <c r="S148" s="2"/>
      <c r="T148" s="2"/>
      <c r="V148" s="495"/>
      <c r="W148" s="495"/>
      <c r="X148" s="495"/>
      <c r="Y148" s="495"/>
      <c r="Z148" s="495"/>
      <c r="AA148" s="495"/>
      <c r="AB148" s="495"/>
      <c r="AC148" s="495"/>
      <c r="AD148" s="495"/>
      <c r="AE148" s="495"/>
      <c r="AF148" s="495"/>
      <c r="AG148" s="495"/>
      <c r="AH148" s="495"/>
      <c r="AI148" s="495"/>
      <c r="AJ148" s="495"/>
      <c r="AK148" s="495"/>
      <c r="AL148" s="495"/>
      <c r="AM148" s="495"/>
      <c r="AN148" s="495"/>
      <c r="AO148" s="495"/>
    </row>
    <row r="149" spans="1:41" ht="12.9" customHeight="1" x14ac:dyDescent="0.2">
      <c r="A149" s="2"/>
      <c r="B149" s="2"/>
      <c r="C149" s="280"/>
      <c r="D149" s="280"/>
      <c r="E149" s="2"/>
      <c r="F149" s="2"/>
      <c r="G149" s="2"/>
      <c r="H149" s="2"/>
      <c r="I149" s="280"/>
      <c r="J149" s="280"/>
      <c r="K149" s="2"/>
      <c r="L149" s="2"/>
      <c r="M149" s="2"/>
      <c r="N149" s="2"/>
      <c r="O149" s="280"/>
      <c r="P149" s="280"/>
      <c r="Q149" s="2"/>
      <c r="R149" s="2"/>
      <c r="S149" s="2"/>
      <c r="T149" s="2"/>
      <c r="V149" s="495"/>
      <c r="W149" s="495"/>
      <c r="X149" s="495"/>
      <c r="Y149" s="495"/>
      <c r="Z149" s="495"/>
      <c r="AA149" s="495"/>
      <c r="AB149" s="495"/>
      <c r="AC149" s="495"/>
      <c r="AD149" s="495"/>
      <c r="AE149" s="495"/>
      <c r="AF149" s="495"/>
      <c r="AG149" s="495"/>
      <c r="AH149" s="495"/>
      <c r="AI149" s="495"/>
      <c r="AJ149" s="495"/>
      <c r="AK149" s="495"/>
      <c r="AL149" s="495"/>
      <c r="AM149" s="495"/>
      <c r="AN149" s="495"/>
      <c r="AO149" s="495"/>
    </row>
    <row r="150" spans="1:41" ht="12.9" customHeight="1" x14ac:dyDescent="0.2">
      <c r="A150" s="2"/>
      <c r="B150" s="2"/>
      <c r="C150" s="280"/>
      <c r="D150" s="280"/>
      <c r="E150" s="2"/>
      <c r="F150" s="2"/>
      <c r="G150" s="2"/>
      <c r="H150" s="2"/>
      <c r="I150" s="280"/>
      <c r="J150" s="280"/>
      <c r="K150" s="2"/>
      <c r="L150" s="2"/>
      <c r="M150" s="2"/>
      <c r="N150" s="2"/>
      <c r="O150" s="280"/>
      <c r="P150" s="280"/>
      <c r="Q150" s="2"/>
      <c r="R150" s="2"/>
      <c r="S150" s="2"/>
      <c r="T150" s="2"/>
      <c r="V150" s="495"/>
      <c r="W150" s="495"/>
      <c r="X150" s="495"/>
      <c r="Y150" s="495"/>
      <c r="Z150" s="495"/>
      <c r="AA150" s="495"/>
      <c r="AB150" s="495"/>
      <c r="AC150" s="495"/>
      <c r="AD150" s="495"/>
      <c r="AE150" s="495"/>
      <c r="AF150" s="495"/>
      <c r="AG150" s="495"/>
      <c r="AH150" s="495"/>
      <c r="AI150" s="495"/>
      <c r="AJ150" s="495"/>
      <c r="AK150" s="495"/>
      <c r="AL150" s="495"/>
      <c r="AM150" s="495"/>
      <c r="AN150" s="495"/>
      <c r="AO150" s="495"/>
    </row>
    <row r="151" spans="1:41" ht="12.9" customHeight="1" x14ac:dyDescent="0.2">
      <c r="A151" s="2"/>
      <c r="B151" s="2"/>
      <c r="C151" s="280"/>
      <c r="D151" s="280"/>
      <c r="E151" s="2"/>
      <c r="F151" s="2"/>
      <c r="G151" s="2"/>
      <c r="H151" s="2"/>
      <c r="I151" s="280"/>
      <c r="J151" s="280"/>
      <c r="K151" s="2"/>
      <c r="L151" s="2"/>
      <c r="M151" s="2"/>
      <c r="N151" s="2"/>
      <c r="O151" s="280"/>
      <c r="P151" s="280"/>
      <c r="Q151" s="2"/>
      <c r="R151" s="2"/>
      <c r="S151" s="2"/>
      <c r="T151" s="2"/>
      <c r="V151" s="495"/>
      <c r="W151" s="495"/>
      <c r="X151" s="495"/>
      <c r="Y151" s="495"/>
      <c r="Z151" s="495"/>
      <c r="AA151" s="495"/>
      <c r="AB151" s="495"/>
      <c r="AC151" s="495"/>
      <c r="AD151" s="495"/>
      <c r="AE151" s="495"/>
      <c r="AF151" s="495"/>
      <c r="AG151" s="495"/>
      <c r="AH151" s="495"/>
      <c r="AI151" s="495"/>
      <c r="AJ151" s="495"/>
      <c r="AK151" s="495"/>
      <c r="AL151" s="495"/>
      <c r="AM151" s="495"/>
      <c r="AN151" s="495"/>
      <c r="AO151" s="495"/>
    </row>
    <row r="152" spans="1:41" ht="12.9" customHeight="1" x14ac:dyDescent="0.2">
      <c r="A152" s="2"/>
      <c r="B152" s="2"/>
      <c r="C152" s="280"/>
      <c r="D152" s="280"/>
      <c r="E152" s="2"/>
      <c r="F152" s="2"/>
      <c r="G152" s="2"/>
      <c r="H152" s="2"/>
      <c r="I152" s="280"/>
      <c r="J152" s="280"/>
      <c r="K152" s="2"/>
      <c r="L152" s="2"/>
      <c r="M152" s="2"/>
      <c r="N152" s="2"/>
      <c r="O152" s="280"/>
      <c r="P152" s="280"/>
      <c r="Q152" s="2"/>
      <c r="R152" s="2"/>
      <c r="S152" s="2"/>
      <c r="T152" s="2"/>
      <c r="V152" s="495"/>
      <c r="W152" s="495"/>
      <c r="X152" s="495"/>
      <c r="Y152" s="495"/>
      <c r="Z152" s="495"/>
      <c r="AA152" s="495"/>
      <c r="AB152" s="495"/>
      <c r="AC152" s="495"/>
      <c r="AD152" s="495"/>
      <c r="AE152" s="495"/>
      <c r="AF152" s="495"/>
      <c r="AG152" s="495"/>
      <c r="AH152" s="495"/>
      <c r="AI152" s="495"/>
      <c r="AJ152" s="495"/>
      <c r="AK152" s="495"/>
      <c r="AL152" s="495"/>
      <c r="AM152" s="495"/>
      <c r="AN152" s="495"/>
      <c r="AO152" s="495"/>
    </row>
    <row r="153" spans="1:41" ht="12.9" customHeight="1" x14ac:dyDescent="0.2">
      <c r="A153" s="2"/>
      <c r="B153" s="2"/>
      <c r="C153" s="280"/>
      <c r="D153" s="280"/>
      <c r="E153" s="2"/>
      <c r="F153" s="2"/>
      <c r="G153" s="2"/>
      <c r="H153" s="2"/>
      <c r="I153" s="280"/>
      <c r="J153" s="280"/>
      <c r="K153" s="2"/>
      <c r="L153" s="2"/>
      <c r="M153" s="2"/>
      <c r="N153" s="2"/>
      <c r="O153" s="280"/>
      <c r="P153" s="280"/>
      <c r="Q153" s="2"/>
      <c r="R153" s="2"/>
      <c r="S153" s="2"/>
      <c r="T153" s="2"/>
      <c r="V153" s="495"/>
      <c r="W153" s="495"/>
      <c r="X153" s="495"/>
      <c r="Y153" s="495"/>
      <c r="Z153" s="495"/>
      <c r="AA153" s="495"/>
      <c r="AB153" s="495"/>
      <c r="AC153" s="495"/>
      <c r="AD153" s="495"/>
      <c r="AE153" s="495"/>
      <c r="AF153" s="495"/>
      <c r="AG153" s="495"/>
      <c r="AH153" s="495"/>
      <c r="AI153" s="495"/>
      <c r="AJ153" s="495"/>
      <c r="AK153" s="495"/>
      <c r="AL153" s="495"/>
      <c r="AM153" s="495"/>
      <c r="AN153" s="495"/>
      <c r="AO153" s="495"/>
    </row>
    <row r="154" spans="1:41" ht="12.9" customHeight="1" x14ac:dyDescent="0.2">
      <c r="A154" s="2"/>
      <c r="B154" s="2"/>
      <c r="C154" s="280"/>
      <c r="D154" s="280"/>
      <c r="E154" s="2"/>
      <c r="F154" s="2"/>
      <c r="G154" s="2"/>
      <c r="H154" s="2"/>
      <c r="I154" s="280"/>
      <c r="J154" s="280"/>
      <c r="K154" s="2"/>
      <c r="L154" s="2"/>
      <c r="M154" s="2"/>
      <c r="N154" s="2"/>
      <c r="O154" s="280"/>
      <c r="P154" s="280"/>
      <c r="Q154" s="2"/>
      <c r="R154" s="2"/>
      <c r="S154" s="2"/>
      <c r="T154" s="2"/>
      <c r="V154" s="495"/>
      <c r="W154" s="495"/>
      <c r="X154" s="495"/>
      <c r="Y154" s="495"/>
      <c r="Z154" s="495"/>
      <c r="AA154" s="495"/>
      <c r="AB154" s="495"/>
      <c r="AC154" s="495"/>
      <c r="AD154" s="495"/>
      <c r="AE154" s="495"/>
      <c r="AF154" s="495"/>
      <c r="AG154" s="495"/>
      <c r="AH154" s="495"/>
      <c r="AI154" s="495"/>
      <c r="AJ154" s="495"/>
      <c r="AK154" s="495"/>
      <c r="AL154" s="495"/>
      <c r="AM154" s="495"/>
      <c r="AN154" s="495"/>
      <c r="AO154" s="495"/>
    </row>
    <row r="155" spans="1:41" ht="12.9" customHeight="1" x14ac:dyDescent="0.2">
      <c r="A155" s="2"/>
      <c r="B155" s="2"/>
      <c r="C155" s="280"/>
      <c r="D155" s="280"/>
      <c r="E155" s="2"/>
      <c r="F155" s="2"/>
      <c r="G155" s="2"/>
      <c r="H155" s="2"/>
      <c r="I155" s="280"/>
      <c r="J155" s="280"/>
      <c r="K155" s="2"/>
      <c r="L155" s="2"/>
      <c r="M155" s="2"/>
      <c r="N155" s="2"/>
      <c r="O155" s="280"/>
      <c r="P155" s="280"/>
      <c r="Q155" s="2"/>
      <c r="R155" s="2"/>
      <c r="S155" s="2"/>
      <c r="T155" s="2"/>
      <c r="V155" s="495"/>
      <c r="W155" s="495"/>
      <c r="X155" s="495"/>
      <c r="Y155" s="495"/>
      <c r="Z155" s="495"/>
      <c r="AA155" s="495"/>
      <c r="AB155" s="495"/>
      <c r="AC155" s="495"/>
      <c r="AD155" s="495"/>
      <c r="AE155" s="495"/>
      <c r="AF155" s="495"/>
      <c r="AG155" s="495"/>
      <c r="AH155" s="495"/>
      <c r="AI155" s="495"/>
      <c r="AJ155" s="495"/>
      <c r="AK155" s="495"/>
      <c r="AL155" s="495"/>
      <c r="AM155" s="495"/>
      <c r="AN155" s="495"/>
      <c r="AO155" s="495"/>
    </row>
    <row r="156" spans="1:41" ht="12.9" customHeight="1" x14ac:dyDescent="0.2">
      <c r="A156" s="2"/>
      <c r="B156" s="2"/>
      <c r="C156" s="280"/>
      <c r="D156" s="280"/>
      <c r="E156" s="2"/>
      <c r="F156" s="2"/>
      <c r="G156" s="2"/>
      <c r="H156" s="2"/>
      <c r="I156" s="280"/>
      <c r="J156" s="280"/>
      <c r="K156" s="2"/>
      <c r="L156" s="2"/>
      <c r="M156" s="2"/>
      <c r="N156" s="2"/>
      <c r="O156" s="280"/>
      <c r="P156" s="280"/>
      <c r="Q156" s="2"/>
      <c r="R156" s="2"/>
      <c r="S156" s="2"/>
      <c r="T156" s="2"/>
      <c r="V156" s="495"/>
      <c r="W156" s="495"/>
      <c r="X156" s="495"/>
      <c r="Y156" s="495"/>
      <c r="Z156" s="495"/>
      <c r="AA156" s="495"/>
      <c r="AB156" s="495"/>
      <c r="AC156" s="495"/>
      <c r="AD156" s="495"/>
      <c r="AE156" s="495"/>
      <c r="AF156" s="495"/>
      <c r="AG156" s="495"/>
      <c r="AH156" s="495"/>
      <c r="AI156" s="495"/>
      <c r="AJ156" s="495"/>
      <c r="AK156" s="495"/>
      <c r="AL156" s="495"/>
      <c r="AM156" s="495"/>
      <c r="AN156" s="495"/>
      <c r="AO156" s="495"/>
    </row>
    <row r="157" spans="1:41" ht="12.9" customHeight="1" x14ac:dyDescent="0.2">
      <c r="A157" s="2"/>
      <c r="B157" s="2"/>
      <c r="C157" s="280"/>
      <c r="D157" s="280"/>
      <c r="E157" s="2"/>
      <c r="F157" s="2"/>
      <c r="G157" s="2"/>
      <c r="H157" s="2"/>
      <c r="I157" s="280"/>
      <c r="J157" s="280"/>
      <c r="K157" s="2"/>
      <c r="L157" s="2"/>
      <c r="M157" s="2"/>
      <c r="N157" s="2"/>
      <c r="O157" s="280"/>
      <c r="P157" s="280"/>
      <c r="Q157" s="2"/>
      <c r="R157" s="2"/>
      <c r="S157" s="2"/>
      <c r="T157" s="2"/>
      <c r="V157" s="495"/>
      <c r="W157" s="495"/>
      <c r="X157" s="495"/>
      <c r="Y157" s="495"/>
      <c r="Z157" s="495"/>
      <c r="AA157" s="495"/>
      <c r="AB157" s="495"/>
      <c r="AC157" s="495"/>
      <c r="AD157" s="495"/>
      <c r="AE157" s="495"/>
      <c r="AF157" s="495"/>
      <c r="AG157" s="495"/>
      <c r="AH157" s="495"/>
      <c r="AI157" s="495"/>
      <c r="AJ157" s="495"/>
      <c r="AK157" s="495"/>
      <c r="AL157" s="495"/>
      <c r="AM157" s="495"/>
      <c r="AN157" s="495"/>
      <c r="AO157" s="495"/>
    </row>
    <row r="158" spans="1:41" ht="12.9" customHeight="1" x14ac:dyDescent="0.2">
      <c r="A158" s="2"/>
      <c r="B158" s="2"/>
      <c r="C158" s="280"/>
      <c r="D158" s="280"/>
      <c r="E158" s="2"/>
      <c r="F158" s="2"/>
      <c r="G158" s="2"/>
      <c r="H158" s="2"/>
      <c r="I158" s="280"/>
      <c r="J158" s="280"/>
      <c r="K158" s="2"/>
      <c r="L158" s="2"/>
      <c r="M158" s="2"/>
      <c r="N158" s="2"/>
      <c r="O158" s="280"/>
      <c r="P158" s="280"/>
      <c r="Q158" s="2"/>
      <c r="R158" s="2"/>
      <c r="S158" s="2"/>
      <c r="T158" s="2"/>
      <c r="V158" s="495"/>
      <c r="W158" s="495"/>
      <c r="X158" s="495"/>
      <c r="Y158" s="495"/>
      <c r="Z158" s="495"/>
      <c r="AA158" s="495"/>
      <c r="AB158" s="495"/>
      <c r="AC158" s="495"/>
      <c r="AD158" s="495"/>
      <c r="AE158" s="495"/>
      <c r="AF158" s="495"/>
      <c r="AG158" s="495"/>
      <c r="AH158" s="495"/>
      <c r="AI158" s="495"/>
      <c r="AJ158" s="495"/>
      <c r="AK158" s="495"/>
      <c r="AL158" s="495"/>
      <c r="AM158" s="495"/>
      <c r="AN158" s="495"/>
      <c r="AO158" s="495"/>
    </row>
    <row r="159" spans="1:41" ht="12.9" customHeight="1" x14ac:dyDescent="0.2">
      <c r="A159" s="2"/>
      <c r="B159" s="2"/>
      <c r="C159" s="280"/>
      <c r="D159" s="280"/>
      <c r="E159" s="2"/>
      <c r="F159" s="2"/>
      <c r="G159" s="2"/>
      <c r="H159" s="2"/>
      <c r="I159" s="280"/>
      <c r="J159" s="280"/>
      <c r="K159" s="2"/>
      <c r="L159" s="2"/>
      <c r="M159" s="2"/>
      <c r="N159" s="2"/>
      <c r="O159" s="280"/>
      <c r="P159" s="280"/>
      <c r="Q159" s="2"/>
      <c r="R159" s="2"/>
      <c r="S159" s="2"/>
      <c r="T159" s="2"/>
      <c r="V159" s="495"/>
      <c r="W159" s="495"/>
      <c r="X159" s="495"/>
      <c r="Y159" s="495"/>
      <c r="Z159" s="495"/>
      <c r="AA159" s="495"/>
      <c r="AB159" s="495"/>
      <c r="AC159" s="495"/>
      <c r="AD159" s="495"/>
      <c r="AE159" s="495"/>
      <c r="AF159" s="495"/>
      <c r="AG159" s="495"/>
      <c r="AH159" s="495"/>
      <c r="AI159" s="495"/>
      <c r="AJ159" s="495"/>
      <c r="AK159" s="495"/>
      <c r="AL159" s="495"/>
      <c r="AM159" s="495"/>
      <c r="AN159" s="495"/>
      <c r="AO159" s="495"/>
    </row>
    <row r="160" spans="1:41" ht="12.9" customHeight="1" x14ac:dyDescent="0.2">
      <c r="A160" s="2"/>
      <c r="B160" s="2"/>
      <c r="C160" s="280"/>
      <c r="D160" s="280"/>
      <c r="E160" s="2"/>
      <c r="F160" s="2"/>
      <c r="G160" s="2"/>
      <c r="H160" s="2"/>
      <c r="I160" s="280"/>
      <c r="J160" s="280"/>
      <c r="K160" s="2"/>
      <c r="L160" s="2"/>
      <c r="M160" s="2"/>
      <c r="N160" s="2"/>
      <c r="O160" s="280"/>
      <c r="P160" s="280"/>
      <c r="Q160" s="2"/>
      <c r="R160" s="2"/>
      <c r="S160" s="2"/>
      <c r="T160" s="2"/>
      <c r="V160" s="495"/>
      <c r="W160" s="495"/>
      <c r="X160" s="495"/>
      <c r="Y160" s="495"/>
      <c r="Z160" s="495"/>
      <c r="AA160" s="495"/>
      <c r="AB160" s="495"/>
      <c r="AC160" s="495"/>
      <c r="AD160" s="495"/>
      <c r="AE160" s="495"/>
      <c r="AF160" s="495"/>
      <c r="AG160" s="495"/>
      <c r="AH160" s="495"/>
      <c r="AI160" s="495"/>
      <c r="AJ160" s="495"/>
      <c r="AK160" s="495"/>
      <c r="AL160" s="495"/>
      <c r="AM160" s="495"/>
      <c r="AN160" s="495"/>
      <c r="AO160" s="495"/>
    </row>
    <row r="162" spans="1:41" ht="12.9" customHeight="1" x14ac:dyDescent="0.2">
      <c r="A162" s="509" t="s">
        <v>2012</v>
      </c>
      <c r="B162" s="494"/>
      <c r="C162" s="675" t="str">
        <f>+C1</f>
        <v>Fourth</v>
      </c>
      <c r="D162" s="676"/>
      <c r="E162" s="676"/>
      <c r="F162" s="676"/>
      <c r="G162" s="676"/>
      <c r="H162" s="677"/>
      <c r="I162" s="675" t="str">
        <f>+I1</f>
        <v>Fifth</v>
      </c>
      <c r="J162" s="676"/>
      <c r="K162" s="676"/>
      <c r="L162" s="676"/>
      <c r="M162" s="676"/>
      <c r="N162" s="677"/>
      <c r="O162" s="675" t="str">
        <f>+O1</f>
        <v>Sixth</v>
      </c>
      <c r="P162" s="676"/>
      <c r="Q162" s="676"/>
      <c r="R162" s="676"/>
      <c r="S162" s="676"/>
      <c r="T162" s="677"/>
      <c r="V162" s="495"/>
      <c r="W162" s="495"/>
      <c r="X162" s="495"/>
      <c r="Y162" s="495"/>
      <c r="Z162" s="495"/>
      <c r="AA162" s="495"/>
      <c r="AB162" s="495"/>
      <c r="AC162" s="495"/>
      <c r="AD162" s="495"/>
      <c r="AE162" s="495"/>
      <c r="AF162" s="495"/>
      <c r="AG162" s="495"/>
      <c r="AH162" s="495"/>
      <c r="AI162" s="495"/>
      <c r="AJ162" s="495"/>
      <c r="AK162" s="495"/>
      <c r="AL162" s="495"/>
      <c r="AM162" s="495"/>
      <c r="AN162" s="495"/>
      <c r="AO162" s="495"/>
    </row>
    <row r="163" spans="1:41" ht="12.9" customHeight="1" x14ac:dyDescent="0.2">
      <c r="A163" s="496"/>
      <c r="B163" s="9"/>
      <c r="C163" s="516" t="s">
        <v>274</v>
      </c>
      <c r="D163" s="498"/>
      <c r="E163" s="4" t="s">
        <v>2017</v>
      </c>
      <c r="F163" s="4" t="s">
        <v>2018</v>
      </c>
      <c r="G163" s="4" t="s">
        <v>2019</v>
      </c>
      <c r="H163" s="5" t="s">
        <v>2020</v>
      </c>
      <c r="I163" s="497"/>
      <c r="J163" s="498"/>
      <c r="K163" s="4" t="s">
        <v>2017</v>
      </c>
      <c r="L163" s="4" t="s">
        <v>2018</v>
      </c>
      <c r="M163" s="4" t="s">
        <v>2019</v>
      </c>
      <c r="N163" s="5" t="s">
        <v>2020</v>
      </c>
      <c r="O163" s="497"/>
      <c r="P163" s="498"/>
      <c r="Q163" s="4" t="s">
        <v>2017</v>
      </c>
      <c r="R163" s="4" t="s">
        <v>2018</v>
      </c>
      <c r="S163" s="4" t="s">
        <v>2019</v>
      </c>
      <c r="T163" s="5" t="s">
        <v>2020</v>
      </c>
      <c r="V163" s="495"/>
      <c r="W163" s="495"/>
      <c r="X163" s="495"/>
      <c r="Y163" s="495"/>
      <c r="Z163" s="495"/>
      <c r="AA163" s="495"/>
      <c r="AB163" s="495"/>
      <c r="AC163" s="495"/>
      <c r="AD163" s="495"/>
      <c r="AE163" s="495"/>
      <c r="AF163" s="495"/>
      <c r="AG163" s="495"/>
      <c r="AH163" s="495"/>
      <c r="AI163" s="495"/>
      <c r="AJ163" s="495"/>
      <c r="AK163" s="495"/>
      <c r="AL163" s="495"/>
      <c r="AM163" s="495"/>
      <c r="AN163" s="495"/>
      <c r="AO163" s="495"/>
    </row>
    <row r="164" spans="1:41" ht="12.9" customHeight="1" x14ac:dyDescent="0.2">
      <c r="A164" s="517" t="str">
        <f>+'Past Quartets 1st - 3rd Place'!A163</f>
        <v>1994 P</v>
      </c>
      <c r="B164" s="517">
        <f>+'Past Quartets 1st - 3rd Place'!B163</f>
        <v>30</v>
      </c>
      <c r="C164" s="499" t="s">
        <v>147</v>
      </c>
      <c r="D164" s="197" t="s">
        <v>148</v>
      </c>
      <c r="E164" s="2" t="s">
        <v>3283</v>
      </c>
      <c r="F164" s="2" t="s">
        <v>44</v>
      </c>
      <c r="G164" s="2" t="s">
        <v>3284</v>
      </c>
      <c r="H164" s="2" t="s">
        <v>4054</v>
      </c>
      <c r="I164" s="499" t="s">
        <v>3291</v>
      </c>
      <c r="J164" s="197" t="s">
        <v>3292</v>
      </c>
      <c r="K164" s="7" t="s">
        <v>449</v>
      </c>
      <c r="L164" s="2" t="s">
        <v>2144</v>
      </c>
      <c r="M164" s="2" t="s">
        <v>3705</v>
      </c>
      <c r="N164" s="3" t="s">
        <v>557</v>
      </c>
      <c r="O164" s="499" t="s">
        <v>3567</v>
      </c>
      <c r="P164" s="499" t="s">
        <v>2733</v>
      </c>
      <c r="Q164" s="518" t="s">
        <v>3568</v>
      </c>
      <c r="R164" s="417" t="s">
        <v>3569</v>
      </c>
      <c r="S164" s="417" t="s">
        <v>807</v>
      </c>
      <c r="T164" s="404" t="s">
        <v>3570</v>
      </c>
      <c r="V164" s="495"/>
      <c r="W164" s="495"/>
      <c r="X164" s="495"/>
      <c r="Y164" s="495"/>
      <c r="Z164" s="495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</row>
    <row r="165" spans="1:41" ht="12.9" customHeight="1" x14ac:dyDescent="0.2">
      <c r="A165" s="505" t="str">
        <f>+'Past Quartets 1st - 3rd Place'!A164</f>
        <v>1995 P</v>
      </c>
      <c r="B165" s="503">
        <f>+'Past Quartets 1st - 3rd Place'!B164</f>
        <v>41</v>
      </c>
      <c r="C165" s="197" t="s">
        <v>3291</v>
      </c>
      <c r="D165" s="197" t="s">
        <v>3292</v>
      </c>
      <c r="E165" s="7" t="s">
        <v>449</v>
      </c>
      <c r="F165" s="2" t="s">
        <v>2144</v>
      </c>
      <c r="G165" s="2" t="s">
        <v>3705</v>
      </c>
      <c r="H165" s="3" t="s">
        <v>557</v>
      </c>
      <c r="I165" s="197" t="s">
        <v>163</v>
      </c>
      <c r="J165" s="197" t="s">
        <v>164</v>
      </c>
      <c r="K165" s="1" t="s">
        <v>165</v>
      </c>
      <c r="L165" s="1" t="s">
        <v>166</v>
      </c>
      <c r="M165" s="1" t="s">
        <v>167</v>
      </c>
      <c r="N165" s="3" t="s">
        <v>168</v>
      </c>
      <c r="O165" s="197" t="s">
        <v>1635</v>
      </c>
      <c r="P165" s="197" t="s">
        <v>1636</v>
      </c>
      <c r="Q165" s="1" t="s">
        <v>1637</v>
      </c>
      <c r="R165" s="1" t="s">
        <v>4083</v>
      </c>
      <c r="S165" s="1" t="s">
        <v>1639</v>
      </c>
      <c r="T165" s="3" t="s">
        <v>252</v>
      </c>
      <c r="V165" s="495"/>
      <c r="W165" s="495"/>
      <c r="X165" s="495"/>
      <c r="Y165" s="495"/>
      <c r="Z165" s="495"/>
      <c r="AA165" s="495"/>
      <c r="AB165" s="495"/>
      <c r="AC165" s="495"/>
      <c r="AD165" s="495"/>
      <c r="AE165" s="495"/>
      <c r="AF165" s="495"/>
      <c r="AG165" s="495"/>
      <c r="AH165" s="495"/>
      <c r="AI165" s="495"/>
      <c r="AJ165" s="495"/>
      <c r="AK165" s="495"/>
      <c r="AL165" s="495"/>
      <c r="AM165" s="495"/>
      <c r="AN165" s="495"/>
      <c r="AO165" s="495"/>
    </row>
    <row r="166" spans="1:41" ht="12.9" customHeight="1" x14ac:dyDescent="0.2">
      <c r="A166" s="505" t="str">
        <f>+'Past Quartets 1st - 3rd Place'!A165</f>
        <v>1996 P</v>
      </c>
      <c r="B166" s="503">
        <f>+'Past Quartets 1st - 3rd Place'!B165</f>
        <v>31</v>
      </c>
      <c r="C166" s="197" t="s">
        <v>3571</v>
      </c>
      <c r="D166" s="197" t="s">
        <v>4041</v>
      </c>
      <c r="E166" s="7" t="s">
        <v>171</v>
      </c>
      <c r="F166" s="2" t="s">
        <v>734</v>
      </c>
      <c r="G166" s="2" t="s">
        <v>2466</v>
      </c>
      <c r="H166" s="3" t="s">
        <v>457</v>
      </c>
      <c r="I166" s="405" t="s">
        <v>1623</v>
      </c>
      <c r="J166" s="197" t="s">
        <v>1624</v>
      </c>
      <c r="K166" s="2" t="s">
        <v>439</v>
      </c>
      <c r="L166" s="2" t="s">
        <v>1626</v>
      </c>
      <c r="M166" s="2" t="s">
        <v>1627</v>
      </c>
      <c r="N166" s="3" t="s">
        <v>1628</v>
      </c>
      <c r="O166" s="197" t="s">
        <v>3296</v>
      </c>
      <c r="P166" s="197" t="s">
        <v>3297</v>
      </c>
      <c r="Q166" s="2" t="s">
        <v>145</v>
      </c>
      <c r="R166" s="2" t="s">
        <v>146</v>
      </c>
      <c r="S166" s="2" t="s">
        <v>1615</v>
      </c>
      <c r="T166" s="3" t="s">
        <v>1616</v>
      </c>
      <c r="V166" s="495"/>
      <c r="W166" s="495"/>
      <c r="X166" s="495"/>
      <c r="Y166" s="495"/>
      <c r="Z166" s="495"/>
      <c r="AA166" s="495"/>
      <c r="AB166" s="495"/>
      <c r="AC166" s="495"/>
      <c r="AD166" s="495"/>
      <c r="AE166" s="495"/>
      <c r="AF166" s="495"/>
      <c r="AG166" s="495"/>
      <c r="AH166" s="495"/>
      <c r="AI166" s="495"/>
      <c r="AJ166" s="495"/>
      <c r="AK166" s="495"/>
      <c r="AL166" s="495"/>
      <c r="AM166" s="495"/>
      <c r="AN166" s="495"/>
      <c r="AO166" s="495"/>
    </row>
    <row r="167" spans="1:41" ht="12.9" customHeight="1" x14ac:dyDescent="0.2">
      <c r="A167" s="505" t="str">
        <f>+'Past Quartets 1st - 3rd Place'!A166</f>
        <v>1997 P</v>
      </c>
      <c r="B167" s="503">
        <f>+'Past Quartets 1st - 3rd Place'!B166</f>
        <v>30</v>
      </c>
      <c r="C167" s="197" t="s">
        <v>163</v>
      </c>
      <c r="D167" s="197" t="s">
        <v>164</v>
      </c>
      <c r="E167" s="1" t="s">
        <v>165</v>
      </c>
      <c r="F167" s="1" t="s">
        <v>166</v>
      </c>
      <c r="G167" s="1" t="s">
        <v>167</v>
      </c>
      <c r="H167" s="3" t="s">
        <v>168</v>
      </c>
      <c r="I167" s="197" t="s">
        <v>1967</v>
      </c>
      <c r="J167" s="197" t="s">
        <v>1968</v>
      </c>
      <c r="K167" s="7" t="s">
        <v>1969</v>
      </c>
      <c r="L167" s="2" t="s">
        <v>1970</v>
      </c>
      <c r="M167" s="2" t="s">
        <v>255</v>
      </c>
      <c r="N167" s="3" t="s">
        <v>1303</v>
      </c>
      <c r="O167" s="405" t="s">
        <v>1623</v>
      </c>
      <c r="P167" s="197" t="s">
        <v>1624</v>
      </c>
      <c r="Q167" s="2" t="s">
        <v>439</v>
      </c>
      <c r="R167" s="2" t="s">
        <v>1626</v>
      </c>
      <c r="S167" s="2" t="s">
        <v>1627</v>
      </c>
      <c r="T167" s="3" t="s">
        <v>1628</v>
      </c>
      <c r="V167" s="495"/>
      <c r="W167" s="495"/>
      <c r="X167" s="495"/>
      <c r="Y167" s="495"/>
      <c r="Z167" s="495"/>
      <c r="AA167" s="495"/>
      <c r="AB167" s="495"/>
      <c r="AC167" s="495"/>
      <c r="AD167" s="495"/>
      <c r="AE167" s="495"/>
      <c r="AF167" s="495"/>
      <c r="AG167" s="495"/>
      <c r="AH167" s="495"/>
      <c r="AI167" s="495"/>
      <c r="AJ167" s="495"/>
      <c r="AK167" s="495"/>
      <c r="AL167" s="495"/>
      <c r="AM167" s="495"/>
      <c r="AN167" s="495"/>
      <c r="AO167" s="495"/>
    </row>
    <row r="168" spans="1:41" s="507" customFormat="1" ht="12.9" customHeight="1" x14ac:dyDescent="0.2">
      <c r="A168" s="505" t="str">
        <f>+'Past Quartets 1st - 3rd Place'!A167</f>
        <v>1998 P</v>
      </c>
      <c r="B168" s="503">
        <f>+'Past Quartets 1st - 3rd Place'!B167</f>
        <v>38</v>
      </c>
      <c r="C168" s="197" t="s">
        <v>3291</v>
      </c>
      <c r="D168" s="197" t="s">
        <v>3292</v>
      </c>
      <c r="E168" s="7" t="s">
        <v>449</v>
      </c>
      <c r="F168" s="2" t="s">
        <v>557</v>
      </c>
      <c r="G168" s="2" t="s">
        <v>2144</v>
      </c>
      <c r="H168" s="3" t="s">
        <v>2818</v>
      </c>
      <c r="I168" s="197" t="s">
        <v>2145</v>
      </c>
      <c r="J168" s="197" t="s">
        <v>1636</v>
      </c>
      <c r="K168" s="7" t="s">
        <v>812</v>
      </c>
      <c r="L168" s="2" t="s">
        <v>813</v>
      </c>
      <c r="M168" s="2" t="s">
        <v>814</v>
      </c>
      <c r="N168" s="3" t="s">
        <v>3534</v>
      </c>
      <c r="O168" s="197" t="s">
        <v>3572</v>
      </c>
      <c r="P168" s="197" t="s">
        <v>694</v>
      </c>
      <c r="Q168" s="7" t="s">
        <v>819</v>
      </c>
      <c r="R168" s="2" t="s">
        <v>423</v>
      </c>
      <c r="S168" s="2" t="s">
        <v>820</v>
      </c>
      <c r="T168" s="3" t="s">
        <v>457</v>
      </c>
    </row>
    <row r="169" spans="1:41" s="507" customFormat="1" ht="12.9" customHeight="1" x14ac:dyDescent="0.2">
      <c r="A169" s="505" t="str">
        <f>+'Past Quartets 1st - 3rd Place'!A168</f>
        <v>1999 P</v>
      </c>
      <c r="B169" s="503">
        <f>+'Past Quartets 1st - 3rd Place'!B168</f>
        <v>31</v>
      </c>
      <c r="C169" s="197" t="s">
        <v>1635</v>
      </c>
      <c r="D169" s="197" t="s">
        <v>810</v>
      </c>
      <c r="E169" s="2" t="s">
        <v>811</v>
      </c>
      <c r="F169" s="1" t="s">
        <v>1638</v>
      </c>
      <c r="G169" s="1" t="s">
        <v>1639</v>
      </c>
      <c r="H169" s="1" t="s">
        <v>252</v>
      </c>
      <c r="I169" s="197" t="s">
        <v>3573</v>
      </c>
      <c r="J169" s="197" t="s">
        <v>3574</v>
      </c>
      <c r="K169" s="7" t="s">
        <v>3575</v>
      </c>
      <c r="L169" s="2" t="s">
        <v>3576</v>
      </c>
      <c r="M169" s="2" t="s">
        <v>3563</v>
      </c>
      <c r="N169" s="3" t="s">
        <v>3577</v>
      </c>
      <c r="O169" s="197" t="s">
        <v>1309</v>
      </c>
      <c r="P169" s="197" t="s">
        <v>1310</v>
      </c>
      <c r="Q169" s="7" t="s">
        <v>1311</v>
      </c>
      <c r="R169" s="2" t="s">
        <v>1312</v>
      </c>
      <c r="S169" s="2" t="s">
        <v>816</v>
      </c>
      <c r="T169" s="3" t="s">
        <v>2746</v>
      </c>
    </row>
    <row r="170" spans="1:41" s="507" customFormat="1" ht="12.9" customHeight="1" x14ac:dyDescent="0.2">
      <c r="A170" s="505" t="str">
        <f>+'Past Quartets 1st - 3rd Place'!A169</f>
        <v>2000 P</v>
      </c>
      <c r="B170" s="503">
        <f>+'Past Quartets 1st - 3rd Place'!B169</f>
        <v>30</v>
      </c>
      <c r="C170" s="197" t="s">
        <v>2752</v>
      </c>
      <c r="D170" s="197" t="s">
        <v>2753</v>
      </c>
      <c r="E170" s="2" t="s">
        <v>439</v>
      </c>
      <c r="F170" s="2" t="s">
        <v>2817</v>
      </c>
      <c r="G170" s="2" t="s">
        <v>440</v>
      </c>
      <c r="H170" s="2" t="s">
        <v>2818</v>
      </c>
      <c r="I170" s="197" t="s">
        <v>2145</v>
      </c>
      <c r="J170" s="197" t="s">
        <v>2146</v>
      </c>
      <c r="K170" s="7" t="s">
        <v>812</v>
      </c>
      <c r="L170" s="2" t="s">
        <v>813</v>
      </c>
      <c r="M170" s="2" t="s">
        <v>814</v>
      </c>
      <c r="N170" s="3" t="s">
        <v>3534</v>
      </c>
      <c r="O170" s="197" t="s">
        <v>4088</v>
      </c>
      <c r="P170" s="197" t="s">
        <v>3292</v>
      </c>
      <c r="Q170" s="7" t="s">
        <v>40</v>
      </c>
      <c r="R170" s="2" t="s">
        <v>4083</v>
      </c>
      <c r="S170" s="2" t="s">
        <v>2144</v>
      </c>
      <c r="T170" s="3" t="s">
        <v>557</v>
      </c>
    </row>
    <row r="171" spans="1:41" s="507" customFormat="1" ht="12.9" customHeight="1" x14ac:dyDescent="0.2">
      <c r="A171" s="505" t="str">
        <f>+'Past Quartets 1st - 3rd Place'!A170</f>
        <v>2001 P</v>
      </c>
      <c r="B171" s="503">
        <f>+'Past Quartets 1st - 3rd Place'!B170</f>
        <v>24</v>
      </c>
      <c r="C171" s="197" t="s">
        <v>3578</v>
      </c>
      <c r="D171" s="197" t="s">
        <v>1310</v>
      </c>
      <c r="E171" s="1" t="s">
        <v>1311</v>
      </c>
      <c r="F171" s="1" t="s">
        <v>1312</v>
      </c>
      <c r="G171" s="1" t="s">
        <v>1313</v>
      </c>
      <c r="H171" s="1" t="s">
        <v>2746</v>
      </c>
      <c r="I171" s="197" t="s">
        <v>826</v>
      </c>
      <c r="J171" s="204" t="s">
        <v>3600</v>
      </c>
      <c r="K171" s="27" t="s">
        <v>3601</v>
      </c>
      <c r="L171" s="27" t="s">
        <v>228</v>
      </c>
      <c r="M171" s="27" t="s">
        <v>3602</v>
      </c>
      <c r="N171" s="27" t="s">
        <v>252</v>
      </c>
      <c r="O171" s="197" t="s">
        <v>281</v>
      </c>
      <c r="P171" s="197" t="s">
        <v>817</v>
      </c>
      <c r="Q171" s="2" t="s">
        <v>802</v>
      </c>
      <c r="R171" s="2" t="s">
        <v>1851</v>
      </c>
      <c r="S171" s="2" t="s">
        <v>1852</v>
      </c>
      <c r="T171" s="3" t="s">
        <v>758</v>
      </c>
    </row>
    <row r="172" spans="1:41" s="507" customFormat="1" ht="12.9" customHeight="1" x14ac:dyDescent="0.2">
      <c r="A172" s="505" t="str">
        <f>+'Past Quartets 1st - 3rd Place'!A171</f>
        <v>2002 P</v>
      </c>
      <c r="B172" s="503">
        <f>+'Past Quartets 1st - 3rd Place'!B171</f>
        <v>23</v>
      </c>
      <c r="C172" s="197" t="s">
        <v>4088</v>
      </c>
      <c r="D172" s="197" t="s">
        <v>3292</v>
      </c>
      <c r="E172" s="7" t="s">
        <v>40</v>
      </c>
      <c r="F172" s="2" t="s">
        <v>4083</v>
      </c>
      <c r="G172" s="2" t="s">
        <v>2144</v>
      </c>
      <c r="H172" s="3" t="s">
        <v>557</v>
      </c>
      <c r="I172" s="197" t="s">
        <v>2145</v>
      </c>
      <c r="J172" s="197" t="s">
        <v>2718</v>
      </c>
      <c r="K172" s="7" t="s">
        <v>812</v>
      </c>
      <c r="L172" s="2" t="s">
        <v>813</v>
      </c>
      <c r="M172" s="2" t="s">
        <v>814</v>
      </c>
      <c r="N172" s="3" t="s">
        <v>2723</v>
      </c>
      <c r="O172" s="197" t="s">
        <v>3579</v>
      </c>
      <c r="P172" s="197" t="s">
        <v>3580</v>
      </c>
      <c r="Q172" s="7" t="s">
        <v>2138</v>
      </c>
      <c r="R172" s="2" t="s">
        <v>2139</v>
      </c>
      <c r="S172" s="2" t="s">
        <v>2140</v>
      </c>
      <c r="T172" s="3" t="s">
        <v>3581</v>
      </c>
    </row>
    <row r="173" spans="1:41" s="507" customFormat="1" ht="12.9" customHeight="1" x14ac:dyDescent="0.2">
      <c r="A173" s="505" t="str">
        <f>+'Past Quartets 1st - 3rd Place'!A172</f>
        <v>2003 P</v>
      </c>
      <c r="B173" s="503">
        <f>+'Past Quartets 1st - 3rd Place'!B172</f>
        <v>23</v>
      </c>
      <c r="C173" s="197" t="s">
        <v>442</v>
      </c>
      <c r="D173" s="197" t="s">
        <v>3287</v>
      </c>
      <c r="E173" s="2" t="s">
        <v>4063</v>
      </c>
      <c r="F173" s="2" t="s">
        <v>3288</v>
      </c>
      <c r="G173" s="1" t="s">
        <v>445</v>
      </c>
      <c r="H173" s="3" t="s">
        <v>446</v>
      </c>
      <c r="I173" s="197" t="s">
        <v>281</v>
      </c>
      <c r="J173" s="197" t="s">
        <v>2362</v>
      </c>
      <c r="K173" s="7" t="s">
        <v>458</v>
      </c>
      <c r="L173" s="2" t="s">
        <v>1851</v>
      </c>
      <c r="M173" s="2" t="s">
        <v>1852</v>
      </c>
      <c r="N173" s="3" t="s">
        <v>758</v>
      </c>
      <c r="O173" s="197" t="s">
        <v>3582</v>
      </c>
      <c r="P173" s="197" t="s">
        <v>3357</v>
      </c>
      <c r="Q173" s="7" t="s">
        <v>735</v>
      </c>
      <c r="R173" s="2" t="s">
        <v>3552</v>
      </c>
      <c r="S173" s="2" t="s">
        <v>736</v>
      </c>
      <c r="T173" s="3" t="s">
        <v>3555</v>
      </c>
    </row>
    <row r="174" spans="1:41" s="507" customFormat="1" ht="12.9" customHeight="1" x14ac:dyDescent="0.2">
      <c r="A174" s="505" t="str">
        <f>+'Past Quartets 1st - 3rd Place'!A173</f>
        <v>2004 P</v>
      </c>
      <c r="B174" s="503">
        <f>+'Past Quartets 1st - 3rd Place'!B173</f>
        <v>27</v>
      </c>
      <c r="C174" s="197" t="s">
        <v>281</v>
      </c>
      <c r="D174" s="197" t="s">
        <v>2362</v>
      </c>
      <c r="E174" s="7" t="s">
        <v>458</v>
      </c>
      <c r="F174" s="2" t="s">
        <v>1851</v>
      </c>
      <c r="G174" s="2" t="s">
        <v>1852</v>
      </c>
      <c r="H174" s="3" t="s">
        <v>758</v>
      </c>
      <c r="I174" s="197" t="s">
        <v>3583</v>
      </c>
      <c r="J174" s="207" t="s">
        <v>2733</v>
      </c>
      <c r="K174" s="29" t="s">
        <v>3604</v>
      </c>
      <c r="L174" s="29" t="s">
        <v>3605</v>
      </c>
      <c r="M174" s="29" t="s">
        <v>3606</v>
      </c>
      <c r="N174" s="29" t="s">
        <v>3607</v>
      </c>
      <c r="O174" s="197" t="s">
        <v>2145</v>
      </c>
      <c r="P174" s="197" t="s">
        <v>2718</v>
      </c>
      <c r="Q174" s="7" t="s">
        <v>812</v>
      </c>
      <c r="R174" s="2" t="s">
        <v>813</v>
      </c>
      <c r="S174" s="2" t="s">
        <v>814</v>
      </c>
      <c r="T174" s="3" t="s">
        <v>2723</v>
      </c>
    </row>
    <row r="175" spans="1:41" s="507" customFormat="1" ht="12.9" customHeight="1" x14ac:dyDescent="0.2">
      <c r="A175" s="505" t="str">
        <f>+'Past Quartets 1st - 3rd Place'!A174</f>
        <v>2005 P</v>
      </c>
      <c r="B175" s="503">
        <f>+'Past Quartets 1st - 3rd Place'!B174</f>
        <v>21</v>
      </c>
      <c r="C175" s="405" t="s">
        <v>3352</v>
      </c>
      <c r="D175" s="197" t="s">
        <v>3353</v>
      </c>
      <c r="E175" s="2" t="s">
        <v>433</v>
      </c>
      <c r="F175" s="2" t="s">
        <v>1626</v>
      </c>
      <c r="G175" s="2" t="s">
        <v>3354</v>
      </c>
      <c r="H175" s="3" t="s">
        <v>434</v>
      </c>
      <c r="I175" s="280" t="s">
        <v>2373</v>
      </c>
      <c r="J175" s="197" t="s">
        <v>2374</v>
      </c>
      <c r="K175" s="2" t="s">
        <v>3350</v>
      </c>
      <c r="L175" s="2" t="s">
        <v>3351</v>
      </c>
      <c r="M175" s="2" t="s">
        <v>1639</v>
      </c>
      <c r="N175" s="3" t="s">
        <v>1311</v>
      </c>
      <c r="O175" s="504" t="s">
        <v>3584</v>
      </c>
      <c r="P175" s="204" t="s">
        <v>3608</v>
      </c>
      <c r="Q175" s="27" t="s">
        <v>2265</v>
      </c>
      <c r="R175" s="27" t="s">
        <v>3609</v>
      </c>
      <c r="S175" s="27" t="s">
        <v>3689</v>
      </c>
      <c r="T175" s="28" t="s">
        <v>3610</v>
      </c>
    </row>
    <row r="176" spans="1:41" s="507" customFormat="1" ht="12.9" customHeight="1" x14ac:dyDescent="0.2">
      <c r="A176" s="505" t="str">
        <f>+'Past Quartets 1st - 3rd Place'!A175</f>
        <v>2006 P</v>
      </c>
      <c r="B176" s="503">
        <f>+'Past Quartets 1st - 3rd Place'!B175</f>
        <v>24</v>
      </c>
      <c r="C176" s="197" t="s">
        <v>281</v>
      </c>
      <c r="D176" s="197" t="s">
        <v>2362</v>
      </c>
      <c r="E176" s="7" t="s">
        <v>458</v>
      </c>
      <c r="F176" s="2" t="s">
        <v>1851</v>
      </c>
      <c r="G176" s="2" t="s">
        <v>1852</v>
      </c>
      <c r="H176" s="3" t="s">
        <v>758</v>
      </c>
      <c r="I176" s="197" t="s">
        <v>3585</v>
      </c>
      <c r="J176" s="197" t="s">
        <v>517</v>
      </c>
      <c r="K176" s="7" t="s">
        <v>819</v>
      </c>
      <c r="L176" s="2" t="s">
        <v>688</v>
      </c>
      <c r="M176" s="2" t="s">
        <v>689</v>
      </c>
      <c r="N176" s="3" t="s">
        <v>3519</v>
      </c>
      <c r="O176" s="197" t="s">
        <v>826</v>
      </c>
      <c r="P176" s="204" t="s">
        <v>3600</v>
      </c>
      <c r="Q176" s="27" t="s">
        <v>3601</v>
      </c>
      <c r="R176" s="27" t="s">
        <v>228</v>
      </c>
      <c r="S176" s="27" t="s">
        <v>3602</v>
      </c>
      <c r="T176" s="28" t="s">
        <v>252</v>
      </c>
    </row>
    <row r="177" spans="1:41" s="507" customFormat="1" ht="12.9" customHeight="1" x14ac:dyDescent="0.2">
      <c r="A177" s="505" t="str">
        <f>+'Past Quartets 1st - 3rd Place'!A176</f>
        <v>2007 P</v>
      </c>
      <c r="B177" s="503">
        <f>+'Past Quartets 1st - 3rd Place'!B176</f>
        <v>33</v>
      </c>
      <c r="C177" s="197" t="s">
        <v>3585</v>
      </c>
      <c r="D177" s="197" t="s">
        <v>517</v>
      </c>
      <c r="E177" s="7" t="s">
        <v>819</v>
      </c>
      <c r="F177" s="2" t="s">
        <v>688</v>
      </c>
      <c r="G177" s="2" t="s">
        <v>689</v>
      </c>
      <c r="H177" s="3" t="s">
        <v>3519</v>
      </c>
      <c r="I177" s="197" t="s">
        <v>3603</v>
      </c>
      <c r="J177" s="197" t="s">
        <v>3353</v>
      </c>
      <c r="K177" s="2" t="s">
        <v>433</v>
      </c>
      <c r="L177" s="2" t="s">
        <v>1626</v>
      </c>
      <c r="M177" s="2" t="s">
        <v>3354</v>
      </c>
      <c r="N177" s="3" t="s">
        <v>434</v>
      </c>
      <c r="O177" s="197" t="s">
        <v>3611</v>
      </c>
      <c r="P177" s="204" t="s">
        <v>695</v>
      </c>
      <c r="Q177" s="27" t="s">
        <v>696</v>
      </c>
      <c r="R177" s="27" t="s">
        <v>811</v>
      </c>
      <c r="S177" s="27" t="s">
        <v>697</v>
      </c>
      <c r="T177" s="28" t="s">
        <v>698</v>
      </c>
    </row>
    <row r="178" spans="1:41" s="507" customFormat="1" ht="12.9" customHeight="1" x14ac:dyDescent="0.2">
      <c r="A178" s="505" t="str">
        <f>+'Past Quartets 1st - 3rd Place'!A177</f>
        <v>2008 P</v>
      </c>
      <c r="B178" s="503">
        <f>+'Past Quartets 1st - 3rd Place'!B177</f>
        <v>39</v>
      </c>
      <c r="C178" s="197" t="s">
        <v>412</v>
      </c>
      <c r="D178" s="197" t="s">
        <v>4079</v>
      </c>
      <c r="E178" s="2" t="s">
        <v>3086</v>
      </c>
      <c r="F178" s="2" t="s">
        <v>3087</v>
      </c>
      <c r="G178" s="2" t="s">
        <v>3088</v>
      </c>
      <c r="H178" s="3" t="s">
        <v>3514</v>
      </c>
      <c r="I178" s="197" t="s">
        <v>3505</v>
      </c>
      <c r="J178" s="197" t="s">
        <v>953</v>
      </c>
      <c r="K178" s="2" t="s">
        <v>2328</v>
      </c>
      <c r="L178" s="2" t="s">
        <v>2329</v>
      </c>
      <c r="M178" s="2" t="s">
        <v>2330</v>
      </c>
      <c r="N178" s="3" t="s">
        <v>2331</v>
      </c>
      <c r="O178" s="504" t="s">
        <v>3583</v>
      </c>
      <c r="P178" s="205" t="s">
        <v>2733</v>
      </c>
      <c r="Q178" s="29" t="s">
        <v>3604</v>
      </c>
      <c r="R178" s="27" t="s">
        <v>2332</v>
      </c>
      <c r="S178" s="29" t="s">
        <v>3606</v>
      </c>
      <c r="T178" s="189" t="s">
        <v>3607</v>
      </c>
    </row>
    <row r="179" spans="1:41" s="507" customFormat="1" ht="12.9" customHeight="1" x14ac:dyDescent="0.2">
      <c r="A179" s="505" t="str">
        <f>+'Past Quartets 1st - 3rd Place'!A178</f>
        <v>2009 P</v>
      </c>
      <c r="B179" s="503">
        <f>+'Past Quartets 1st - 3rd Place'!B178</f>
        <v>42</v>
      </c>
      <c r="C179" s="504" t="s">
        <v>1791</v>
      </c>
      <c r="D179" s="197" t="s">
        <v>3580</v>
      </c>
      <c r="E179" s="2" t="s">
        <v>2265</v>
      </c>
      <c r="F179" s="2" t="s">
        <v>2725</v>
      </c>
      <c r="G179" s="2" t="s">
        <v>1659</v>
      </c>
      <c r="H179" s="3" t="s">
        <v>3690</v>
      </c>
      <c r="I179" s="197" t="s">
        <v>412</v>
      </c>
      <c r="J179" s="197" t="s">
        <v>4079</v>
      </c>
      <c r="K179" s="2" t="s">
        <v>3086</v>
      </c>
      <c r="L179" s="2" t="s">
        <v>3087</v>
      </c>
      <c r="M179" s="2" t="s">
        <v>3088</v>
      </c>
      <c r="N179" s="3" t="s">
        <v>3514</v>
      </c>
      <c r="O179" s="504" t="s">
        <v>1792</v>
      </c>
      <c r="P179" s="261" t="s">
        <v>2408</v>
      </c>
      <c r="Q179" s="27" t="s">
        <v>2409</v>
      </c>
      <c r="R179" s="27" t="s">
        <v>2410</v>
      </c>
      <c r="S179" s="27" t="s">
        <v>2412</v>
      </c>
      <c r="T179" s="28" t="s">
        <v>2411</v>
      </c>
    </row>
    <row r="180" spans="1:41" s="507" customFormat="1" ht="12.9" customHeight="1" x14ac:dyDescent="0.2">
      <c r="A180" s="505" t="str">
        <f>+'Past Quartets 1st - 3rd Place'!A179</f>
        <v>2010 P</v>
      </c>
      <c r="B180" s="503">
        <f>+'Past Quartets 1st - 3rd Place'!B179</f>
        <v>41</v>
      </c>
      <c r="C180" s="197" t="s">
        <v>3334</v>
      </c>
      <c r="D180" s="197" t="s">
        <v>3339</v>
      </c>
      <c r="E180" s="2" t="s">
        <v>3340</v>
      </c>
      <c r="F180" s="2" t="s">
        <v>1786</v>
      </c>
      <c r="G180" s="2" t="s">
        <v>3341</v>
      </c>
      <c r="H180" s="2" t="s">
        <v>3342</v>
      </c>
      <c r="I180" s="197" t="s">
        <v>349</v>
      </c>
      <c r="J180" s="197" t="s">
        <v>517</v>
      </c>
      <c r="K180" s="2" t="s">
        <v>350</v>
      </c>
      <c r="L180" s="2" t="s">
        <v>351</v>
      </c>
      <c r="M180" s="2" t="s">
        <v>352</v>
      </c>
      <c r="N180" s="3" t="s">
        <v>483</v>
      </c>
      <c r="O180" s="197" t="s">
        <v>3599</v>
      </c>
      <c r="P180" s="197" t="s">
        <v>2668</v>
      </c>
      <c r="Q180" s="7" t="s">
        <v>3080</v>
      </c>
      <c r="R180" s="2" t="s">
        <v>3081</v>
      </c>
      <c r="S180" s="2" t="s">
        <v>3602</v>
      </c>
      <c r="T180" s="3" t="s">
        <v>252</v>
      </c>
    </row>
    <row r="181" spans="1:41" s="507" customFormat="1" ht="12.9" customHeight="1" x14ac:dyDescent="0.2">
      <c r="A181" s="505" t="str">
        <f>+'Past Quartets 1st - 3rd Place'!A180</f>
        <v>2011 P</v>
      </c>
      <c r="B181" s="503">
        <f>+'Past Quartets 1st - 3rd Place'!B180</f>
        <v>44</v>
      </c>
      <c r="C181" s="197" t="s">
        <v>4009</v>
      </c>
      <c r="D181" s="197" t="s">
        <v>1240</v>
      </c>
      <c r="E181" s="2" t="s">
        <v>1241</v>
      </c>
      <c r="F181" s="2" t="s">
        <v>2812</v>
      </c>
      <c r="G181" s="2" t="s">
        <v>2144</v>
      </c>
      <c r="H181" s="2" t="s">
        <v>1242</v>
      </c>
      <c r="I181" s="197" t="s">
        <v>4010</v>
      </c>
      <c r="J181" s="197" t="s">
        <v>2769</v>
      </c>
      <c r="K181" s="2" t="s">
        <v>1239</v>
      </c>
      <c r="L181" s="2" t="s">
        <v>662</v>
      </c>
      <c r="M181" s="2" t="s">
        <v>133</v>
      </c>
      <c r="N181" s="3" t="s">
        <v>3519</v>
      </c>
      <c r="O181" s="197" t="s">
        <v>4008</v>
      </c>
      <c r="P181" s="197" t="s">
        <v>348</v>
      </c>
      <c r="Q181" s="7" t="s">
        <v>439</v>
      </c>
      <c r="R181" s="2" t="s">
        <v>1626</v>
      </c>
      <c r="S181" s="2" t="s">
        <v>3354</v>
      </c>
      <c r="T181" s="3" t="s">
        <v>434</v>
      </c>
    </row>
    <row r="182" spans="1:41" s="507" customFormat="1" ht="12.9" customHeight="1" x14ac:dyDescent="0.2">
      <c r="A182" s="505" t="str">
        <f>+'Past Quartets 1st - 3rd Place'!A181</f>
        <v>2012 P</v>
      </c>
      <c r="B182" s="503">
        <f>+'Past Quartets 1st - 3rd Place'!B181</f>
        <v>38</v>
      </c>
      <c r="C182" s="197" t="s">
        <v>4017</v>
      </c>
      <c r="D182" s="197" t="s">
        <v>2213</v>
      </c>
      <c r="E182" s="2" t="s">
        <v>1243</v>
      </c>
      <c r="F182" s="2" t="s">
        <v>1244</v>
      </c>
      <c r="G182" s="2" t="s">
        <v>1245</v>
      </c>
      <c r="H182" s="2" t="s">
        <v>1246</v>
      </c>
      <c r="I182" s="197" t="s">
        <v>3116</v>
      </c>
      <c r="J182" s="197" t="s">
        <v>2733</v>
      </c>
      <c r="K182" s="2" t="s">
        <v>3568</v>
      </c>
      <c r="L182" s="2" t="s">
        <v>2693</v>
      </c>
      <c r="M182" s="2" t="s">
        <v>2694</v>
      </c>
      <c r="N182" s="3" t="s">
        <v>3265</v>
      </c>
      <c r="O182" s="197" t="s">
        <v>2695</v>
      </c>
      <c r="P182" s="197" t="s">
        <v>511</v>
      </c>
      <c r="Q182" s="7" t="s">
        <v>1374</v>
      </c>
      <c r="R182" s="2" t="s">
        <v>3081</v>
      </c>
      <c r="S182" s="2" t="s">
        <v>2696</v>
      </c>
      <c r="T182" s="3" t="s">
        <v>3563</v>
      </c>
    </row>
    <row r="183" spans="1:41" s="507" customFormat="1" ht="12.9" customHeight="1" x14ac:dyDescent="0.2">
      <c r="A183" s="505" t="str">
        <f>+'Past Quartets 1st - 3rd Place'!A182</f>
        <v>2013 P</v>
      </c>
      <c r="B183" s="503">
        <f>+'Past Quartets 1st - 3rd Place'!B182</f>
        <v>42</v>
      </c>
      <c r="C183" s="197" t="s">
        <v>821</v>
      </c>
      <c r="D183" s="197" t="s">
        <v>2858</v>
      </c>
      <c r="E183" s="2" t="s">
        <v>822</v>
      </c>
      <c r="F183" s="2" t="s">
        <v>4083</v>
      </c>
      <c r="G183" s="2" t="s">
        <v>824</v>
      </c>
      <c r="H183" s="2" t="s">
        <v>825</v>
      </c>
      <c r="I183" s="197" t="s">
        <v>3116</v>
      </c>
      <c r="J183" s="197" t="s">
        <v>2733</v>
      </c>
      <c r="K183" s="2" t="s">
        <v>3568</v>
      </c>
      <c r="L183" s="2" t="s">
        <v>2693</v>
      </c>
      <c r="M183" s="2" t="s">
        <v>2694</v>
      </c>
      <c r="N183" s="3" t="s">
        <v>3265</v>
      </c>
      <c r="O183" s="197" t="s">
        <v>2859</v>
      </c>
      <c r="P183" s="197" t="s">
        <v>4079</v>
      </c>
      <c r="Q183" s="2" t="s">
        <v>3086</v>
      </c>
      <c r="R183" s="2" t="s">
        <v>3081</v>
      </c>
      <c r="S183" s="2" t="s">
        <v>2696</v>
      </c>
      <c r="T183" s="3" t="s">
        <v>3563</v>
      </c>
    </row>
    <row r="184" spans="1:41" s="507" customFormat="1" ht="12.9" customHeight="1" x14ac:dyDescent="0.2">
      <c r="A184" s="505" t="str">
        <f>+'Past Quartets 1st - 3rd Place'!A183</f>
        <v>2014 P</v>
      </c>
      <c r="B184" s="503">
        <f>+'Past Quartets 1st - 3rd Place'!B183</f>
        <v>48</v>
      </c>
      <c r="C184" s="197" t="s">
        <v>949</v>
      </c>
      <c r="D184" s="197" t="s">
        <v>950</v>
      </c>
      <c r="E184" s="2" t="s">
        <v>3086</v>
      </c>
      <c r="F184" s="2" t="s">
        <v>3955</v>
      </c>
      <c r="G184" s="2" t="s">
        <v>2696</v>
      </c>
      <c r="H184" s="2" t="s">
        <v>2731</v>
      </c>
      <c r="I184" s="197" t="s">
        <v>951</v>
      </c>
      <c r="J184" s="197" t="s">
        <v>952</v>
      </c>
      <c r="K184" s="2" t="s">
        <v>1427</v>
      </c>
      <c r="L184" s="2" t="s">
        <v>173</v>
      </c>
      <c r="M184" s="2" t="s">
        <v>457</v>
      </c>
      <c r="N184" s="3" t="s">
        <v>265</v>
      </c>
      <c r="O184" s="197" t="s">
        <v>954</v>
      </c>
      <c r="P184" s="197" t="s">
        <v>4079</v>
      </c>
      <c r="Q184" s="2" t="s">
        <v>1303</v>
      </c>
      <c r="R184" s="2" t="s">
        <v>955</v>
      </c>
      <c r="S184" s="2" t="s">
        <v>3271</v>
      </c>
      <c r="T184" s="3" t="s">
        <v>2968</v>
      </c>
    </row>
    <row r="185" spans="1:41" s="507" customFormat="1" ht="12.9" customHeight="1" x14ac:dyDescent="0.2">
      <c r="A185" s="505" t="str">
        <f>+'Past Quartets 1st - 3rd Place'!A184</f>
        <v>2015 P</v>
      </c>
      <c r="B185" s="503">
        <f>+'Past Quartets 1st - 3rd Place'!B184</f>
        <v>29</v>
      </c>
      <c r="C185" s="197" t="s">
        <v>946</v>
      </c>
      <c r="D185" s="245" t="s">
        <v>1082</v>
      </c>
      <c r="E185" s="2" t="s">
        <v>3951</v>
      </c>
      <c r="F185" s="2" t="s">
        <v>2894</v>
      </c>
      <c r="G185" s="2" t="s">
        <v>948</v>
      </c>
      <c r="H185" s="2" t="s">
        <v>3351</v>
      </c>
      <c r="I185" s="197" t="s">
        <v>951</v>
      </c>
      <c r="J185" s="197" t="s">
        <v>952</v>
      </c>
      <c r="K185" s="2" t="s">
        <v>1427</v>
      </c>
      <c r="L185" s="2" t="s">
        <v>173</v>
      </c>
      <c r="M185" s="2" t="s">
        <v>457</v>
      </c>
      <c r="N185" s="3" t="s">
        <v>252</v>
      </c>
      <c r="O185" s="197" t="s">
        <v>1086</v>
      </c>
      <c r="P185" s="197" t="s">
        <v>593</v>
      </c>
      <c r="Q185" s="2" t="s">
        <v>940</v>
      </c>
      <c r="R185" s="2" t="s">
        <v>941</v>
      </c>
      <c r="S185" s="2" t="s">
        <v>1087</v>
      </c>
      <c r="T185" s="3" t="s">
        <v>1088</v>
      </c>
    </row>
    <row r="186" spans="1:41" s="507" customFormat="1" ht="12.9" customHeight="1" x14ac:dyDescent="0.2">
      <c r="A186" s="505" t="str">
        <f>+'Past Quartets 1st - 3rd Place'!A185</f>
        <v>2016 P</v>
      </c>
      <c r="B186" s="503">
        <f>+'Past Quartets 1st - 3rd Place'!B185</f>
        <v>38</v>
      </c>
      <c r="C186" s="197" t="s">
        <v>1083</v>
      </c>
      <c r="D186" s="245" t="s">
        <v>4393</v>
      </c>
      <c r="E186" s="2" t="s">
        <v>3086</v>
      </c>
      <c r="F186" s="2" t="s">
        <v>4329</v>
      </c>
      <c r="G186" s="2" t="s">
        <v>2696</v>
      </c>
      <c r="H186" s="2" t="s">
        <v>1242</v>
      </c>
      <c r="I186" s="197" t="s">
        <v>954</v>
      </c>
      <c r="J186" s="197" t="s">
        <v>4079</v>
      </c>
      <c r="K186" s="2" t="s">
        <v>1303</v>
      </c>
      <c r="L186" s="2" t="s">
        <v>955</v>
      </c>
      <c r="M186" s="2" t="s">
        <v>3271</v>
      </c>
      <c r="N186" s="3" t="s">
        <v>2968</v>
      </c>
      <c r="O186" s="197" t="s">
        <v>4330</v>
      </c>
      <c r="P186" s="197" t="s">
        <v>4394</v>
      </c>
      <c r="Q186" s="2" t="s">
        <v>1243</v>
      </c>
      <c r="R186" s="2" t="s">
        <v>4331</v>
      </c>
      <c r="S186" s="2" t="s">
        <v>4332</v>
      </c>
      <c r="T186" s="3" t="s">
        <v>924</v>
      </c>
    </row>
    <row r="187" spans="1:41" s="507" customFormat="1" ht="12.9" customHeight="1" x14ac:dyDescent="0.2">
      <c r="A187" s="505" t="str">
        <f>+'Past Quartets 1st - 3rd Place'!A186</f>
        <v>2017 P</v>
      </c>
      <c r="B187" s="503">
        <f>+'Past Quartets 1st - 3rd Place'!B186</f>
        <v>31</v>
      </c>
      <c r="C187" s="197" t="s">
        <v>4465</v>
      </c>
      <c r="D187" s="245" t="s">
        <v>593</v>
      </c>
      <c r="E187" s="2" t="s">
        <v>4517</v>
      </c>
      <c r="F187" s="2" t="s">
        <v>4334</v>
      </c>
      <c r="G187" s="2" t="s">
        <v>4335</v>
      </c>
      <c r="H187" s="2" t="s">
        <v>4336</v>
      </c>
      <c r="I187" s="197" t="s">
        <v>1083</v>
      </c>
      <c r="J187" s="245" t="s">
        <v>4393</v>
      </c>
      <c r="K187" s="2" t="s">
        <v>3086</v>
      </c>
      <c r="L187" s="2" t="s">
        <v>4329</v>
      </c>
      <c r="M187" s="2" t="s">
        <v>2696</v>
      </c>
      <c r="N187" s="2" t="s">
        <v>1242</v>
      </c>
      <c r="O187" s="197" t="s">
        <v>4327</v>
      </c>
      <c r="P187" s="197" t="s">
        <v>4596</v>
      </c>
      <c r="Q187" s="2" t="s">
        <v>458</v>
      </c>
      <c r="R187" s="2" t="s">
        <v>1301</v>
      </c>
      <c r="S187" s="2" t="s">
        <v>74</v>
      </c>
      <c r="T187" s="3" t="s">
        <v>457</v>
      </c>
    </row>
    <row r="188" spans="1:41" s="507" customFormat="1" ht="12.9" customHeight="1" x14ac:dyDescent="0.2">
      <c r="A188" s="505" t="str">
        <f>+'Past Quartets 1st - 3rd Place'!A187</f>
        <v>2018 P</v>
      </c>
      <c r="B188" s="503">
        <f>+'Past Quartets 1st - 3rd Place'!B187</f>
        <v>36</v>
      </c>
      <c r="C188" s="197" t="s">
        <v>4659</v>
      </c>
      <c r="D188" s="245" t="s">
        <v>4703</v>
      </c>
      <c r="E188" s="2" t="s">
        <v>4660</v>
      </c>
      <c r="F188" s="2" t="s">
        <v>4339</v>
      </c>
      <c r="G188" s="2" t="s">
        <v>2144</v>
      </c>
      <c r="H188" s="2" t="s">
        <v>4661</v>
      </c>
      <c r="I188" s="197" t="s">
        <v>4662</v>
      </c>
      <c r="J188" s="245" t="s">
        <v>4704</v>
      </c>
      <c r="K188" s="2" t="s">
        <v>3283</v>
      </c>
      <c r="L188" s="2" t="s">
        <v>4663</v>
      </c>
      <c r="M188" s="2" t="s">
        <v>440</v>
      </c>
      <c r="N188" s="2" t="s">
        <v>990</v>
      </c>
      <c r="O188" s="197" t="s">
        <v>4664</v>
      </c>
      <c r="P188" s="197" t="s">
        <v>593</v>
      </c>
      <c r="Q188" s="2" t="s">
        <v>4665</v>
      </c>
      <c r="R188" s="2" t="s">
        <v>4666</v>
      </c>
      <c r="S188" s="2" t="s">
        <v>4667</v>
      </c>
      <c r="T188" s="3" t="s">
        <v>4668</v>
      </c>
    </row>
    <row r="189" spans="1:41" s="507" customFormat="1" ht="12.9" customHeight="1" x14ac:dyDescent="0.2">
      <c r="A189" s="505" t="str">
        <f>+'Past Quartets 1st - 3rd Place'!A188</f>
        <v>2019 P</v>
      </c>
      <c r="B189" s="503">
        <f>+'Past Quartets 1st - 3rd Place'!B188</f>
        <v>34</v>
      </c>
      <c r="C189" s="197" t="s">
        <v>4800</v>
      </c>
      <c r="D189" s="245" t="s">
        <v>4041</v>
      </c>
      <c r="E189" s="2" t="s">
        <v>917</v>
      </c>
      <c r="F189" s="2" t="s">
        <v>2410</v>
      </c>
      <c r="G189" s="2" t="s">
        <v>1120</v>
      </c>
      <c r="H189" s="2" t="s">
        <v>2972</v>
      </c>
      <c r="I189" s="197" t="s">
        <v>4664</v>
      </c>
      <c r="J189" s="197" t="s">
        <v>593</v>
      </c>
      <c r="K189" s="2" t="s">
        <v>4665</v>
      </c>
      <c r="L189" s="2" t="s">
        <v>4666</v>
      </c>
      <c r="M189" s="2" t="s">
        <v>4667</v>
      </c>
      <c r="N189" s="3" t="s">
        <v>4668</v>
      </c>
      <c r="O189" s="197" t="s">
        <v>4801</v>
      </c>
      <c r="P189" s="197" t="s">
        <v>4489</v>
      </c>
      <c r="Q189" s="2" t="s">
        <v>1243</v>
      </c>
      <c r="R189" s="2" t="s">
        <v>4331</v>
      </c>
      <c r="S189" s="2" t="s">
        <v>4802</v>
      </c>
      <c r="T189" s="3" t="s">
        <v>4542</v>
      </c>
    </row>
    <row r="190" spans="1:41" s="507" customFormat="1" ht="12.9" customHeight="1" x14ac:dyDescent="0.2">
      <c r="A190" s="496"/>
      <c r="B190" s="496"/>
      <c r="C190" s="506"/>
      <c r="D190" s="198"/>
      <c r="E190" s="4"/>
      <c r="F190" s="4"/>
      <c r="G190" s="4"/>
      <c r="H190" s="5"/>
      <c r="I190" s="198"/>
      <c r="J190" s="198"/>
      <c r="K190" s="4"/>
      <c r="L190" s="4"/>
      <c r="M190" s="4"/>
      <c r="N190" s="5"/>
      <c r="O190" s="506"/>
      <c r="P190" s="206"/>
      <c r="Q190" s="31"/>
      <c r="R190" s="31"/>
      <c r="S190" s="31"/>
      <c r="T190" s="32"/>
    </row>
    <row r="191" spans="1:41" ht="15.6" x14ac:dyDescent="0.3">
      <c r="A191" s="671" t="s">
        <v>1854</v>
      </c>
      <c r="B191" s="671"/>
      <c r="C191" s="671"/>
      <c r="D191" s="671"/>
      <c r="E191" s="671"/>
      <c r="F191" s="671"/>
      <c r="G191" s="671"/>
      <c r="H191" s="671"/>
      <c r="I191" s="671"/>
      <c r="J191" s="671"/>
      <c r="K191" s="671"/>
      <c r="L191" s="671"/>
      <c r="M191" s="671"/>
      <c r="N191" s="671"/>
      <c r="O191" s="671"/>
      <c r="P191" s="671"/>
      <c r="Q191" s="671"/>
      <c r="R191" s="671"/>
      <c r="S191" s="671"/>
      <c r="T191" s="671"/>
      <c r="V191" s="495"/>
      <c r="W191" s="495"/>
      <c r="X191" s="495"/>
      <c r="Y191" s="495"/>
      <c r="Z191" s="495"/>
      <c r="AA191" s="495"/>
      <c r="AB191" s="495"/>
      <c r="AC191" s="495"/>
      <c r="AD191" s="495"/>
      <c r="AE191" s="495"/>
      <c r="AF191" s="495"/>
      <c r="AG191" s="495"/>
      <c r="AH191" s="495"/>
      <c r="AI191" s="495"/>
      <c r="AJ191" s="495"/>
      <c r="AK191" s="495"/>
      <c r="AL191" s="495"/>
      <c r="AM191" s="495"/>
      <c r="AN191" s="495"/>
      <c r="AO191" s="495"/>
    </row>
    <row r="192" spans="1:41" ht="12.9" customHeight="1" x14ac:dyDescent="0.2">
      <c r="A192" s="509" t="s">
        <v>2012</v>
      </c>
      <c r="B192" s="494"/>
      <c r="C192" s="675" t="str">
        <f>+C1</f>
        <v>Fourth</v>
      </c>
      <c r="D192" s="676"/>
      <c r="E192" s="676"/>
      <c r="F192" s="676"/>
      <c r="G192" s="676"/>
      <c r="H192" s="677"/>
      <c r="I192" s="675" t="str">
        <f>+I1</f>
        <v>Fifth</v>
      </c>
      <c r="J192" s="676"/>
      <c r="K192" s="676"/>
      <c r="L192" s="676"/>
      <c r="M192" s="676"/>
      <c r="N192" s="677"/>
      <c r="O192" s="675" t="str">
        <f>+O1</f>
        <v>Sixth</v>
      </c>
      <c r="P192" s="676"/>
      <c r="Q192" s="676"/>
      <c r="R192" s="676"/>
      <c r="S192" s="676"/>
      <c r="T192" s="677"/>
      <c r="V192" s="495"/>
      <c r="W192" s="495"/>
      <c r="X192" s="495"/>
      <c r="Y192" s="495"/>
      <c r="Z192" s="495"/>
      <c r="AA192" s="495"/>
      <c r="AB192" s="495"/>
      <c r="AC192" s="495"/>
      <c r="AD192" s="495"/>
      <c r="AE192" s="495"/>
      <c r="AF192" s="495"/>
      <c r="AG192" s="495"/>
      <c r="AH192" s="495"/>
      <c r="AI192" s="495"/>
      <c r="AJ192" s="495"/>
      <c r="AK192" s="495"/>
      <c r="AL192" s="495"/>
      <c r="AM192" s="495"/>
      <c r="AN192" s="495"/>
      <c r="AO192" s="495"/>
    </row>
    <row r="193" spans="1:41" ht="12.9" customHeight="1" x14ac:dyDescent="0.2">
      <c r="A193" s="496"/>
      <c r="B193" s="9"/>
      <c r="C193" s="521" t="s">
        <v>1855</v>
      </c>
      <c r="D193" s="498"/>
      <c r="E193" s="4" t="s">
        <v>2017</v>
      </c>
      <c r="F193" s="4" t="s">
        <v>2018</v>
      </c>
      <c r="G193" s="4" t="s">
        <v>2019</v>
      </c>
      <c r="H193" s="5" t="s">
        <v>2020</v>
      </c>
      <c r="I193" s="497"/>
      <c r="J193" s="498"/>
      <c r="K193" s="4" t="s">
        <v>2017</v>
      </c>
      <c r="L193" s="4" t="s">
        <v>2018</v>
      </c>
      <c r="M193" s="4" t="s">
        <v>2019</v>
      </c>
      <c r="N193" s="5" t="s">
        <v>2020</v>
      </c>
      <c r="O193" s="497"/>
      <c r="P193" s="498"/>
      <c r="Q193" s="4" t="s">
        <v>2017</v>
      </c>
      <c r="R193" s="4" t="s">
        <v>2018</v>
      </c>
      <c r="S193" s="4" t="s">
        <v>2019</v>
      </c>
      <c r="T193" s="5" t="s">
        <v>2020</v>
      </c>
      <c r="V193" s="495"/>
      <c r="W193" s="495"/>
      <c r="X193" s="495"/>
      <c r="Y193" s="495"/>
      <c r="Z193" s="495"/>
      <c r="AA193" s="495"/>
      <c r="AB193" s="495"/>
      <c r="AC193" s="495"/>
      <c r="AD193" s="495"/>
      <c r="AE193" s="495"/>
      <c r="AF193" s="495"/>
      <c r="AG193" s="495"/>
      <c r="AH193" s="495"/>
      <c r="AI193" s="495"/>
      <c r="AJ193" s="495"/>
      <c r="AK193" s="495"/>
      <c r="AL193" s="495"/>
      <c r="AM193" s="495"/>
      <c r="AN193" s="495"/>
      <c r="AO193" s="495"/>
    </row>
    <row r="194" spans="1:41" ht="12.9" customHeight="1" x14ac:dyDescent="0.2">
      <c r="A194" s="517" t="str">
        <f>+'Past Quartets 1st - 3rd Place'!A194</f>
        <v>1991 P</v>
      </c>
      <c r="B194" s="517">
        <f>+'Past Quartets 1st - 3rd Place'!B194</f>
        <v>5</v>
      </c>
      <c r="C194" s="499" t="s">
        <v>3586</v>
      </c>
      <c r="D194" s="499" t="s">
        <v>4177</v>
      </c>
      <c r="E194" s="518" t="s">
        <v>3925</v>
      </c>
      <c r="F194" s="417" t="s">
        <v>3922</v>
      </c>
      <c r="G194" s="417" t="s">
        <v>3923</v>
      </c>
      <c r="H194" s="404" t="s">
        <v>3924</v>
      </c>
      <c r="I194" s="197" t="s">
        <v>3587</v>
      </c>
      <c r="J194" s="197" t="s">
        <v>148</v>
      </c>
      <c r="K194" s="7" t="s">
        <v>3506</v>
      </c>
      <c r="L194" s="2" t="s">
        <v>3507</v>
      </c>
      <c r="M194" s="2" t="s">
        <v>3508</v>
      </c>
      <c r="N194" s="3" t="s">
        <v>3509</v>
      </c>
      <c r="O194" s="197" t="s">
        <v>3215</v>
      </c>
      <c r="P194" s="197" t="s">
        <v>3215</v>
      </c>
      <c r="Q194" s="7" t="s">
        <v>3215</v>
      </c>
      <c r="R194" s="2" t="s">
        <v>3215</v>
      </c>
      <c r="S194" s="2" t="s">
        <v>3215</v>
      </c>
      <c r="T194" s="3" t="s">
        <v>3215</v>
      </c>
      <c r="V194" s="495"/>
      <c r="W194" s="495"/>
      <c r="X194" s="495"/>
      <c r="Y194" s="495"/>
      <c r="Z194" s="495"/>
      <c r="AA194" s="495"/>
      <c r="AB194" s="495"/>
      <c r="AC194" s="495"/>
      <c r="AD194" s="495"/>
      <c r="AE194" s="495"/>
      <c r="AF194" s="495"/>
      <c r="AG194" s="495"/>
      <c r="AH194" s="495"/>
      <c r="AI194" s="495"/>
      <c r="AJ194" s="495"/>
      <c r="AK194" s="495"/>
      <c r="AL194" s="495"/>
      <c r="AM194" s="495"/>
      <c r="AN194" s="495"/>
      <c r="AO194" s="495"/>
    </row>
    <row r="195" spans="1:41" ht="12.9" customHeight="1" x14ac:dyDescent="0.2">
      <c r="A195" s="505" t="str">
        <f>+'Past Quartets 1st - 3rd Place'!A195</f>
        <v>1992 P</v>
      </c>
      <c r="B195" s="505">
        <f>+'Past Quartets 1st - 3rd Place'!B195</f>
        <v>2</v>
      </c>
      <c r="C195" s="197" t="s">
        <v>3215</v>
      </c>
      <c r="D195" s="197" t="s">
        <v>3215</v>
      </c>
      <c r="E195" s="7" t="s">
        <v>3215</v>
      </c>
      <c r="F195" s="2" t="s">
        <v>3215</v>
      </c>
      <c r="G195" s="2" t="s">
        <v>3215</v>
      </c>
      <c r="H195" s="3" t="s">
        <v>3215</v>
      </c>
      <c r="I195" s="197" t="s">
        <v>3215</v>
      </c>
      <c r="J195" s="197" t="s">
        <v>3215</v>
      </c>
      <c r="K195" s="7" t="s">
        <v>3215</v>
      </c>
      <c r="L195" s="2" t="s">
        <v>3215</v>
      </c>
      <c r="M195" s="2" t="s">
        <v>3215</v>
      </c>
      <c r="N195" s="3" t="s">
        <v>3215</v>
      </c>
      <c r="O195" s="197" t="s">
        <v>3215</v>
      </c>
      <c r="P195" s="197" t="s">
        <v>3215</v>
      </c>
      <c r="Q195" s="7" t="s">
        <v>3215</v>
      </c>
      <c r="R195" s="2" t="s">
        <v>3215</v>
      </c>
      <c r="S195" s="2" t="s">
        <v>3215</v>
      </c>
      <c r="T195" s="3" t="s">
        <v>3215</v>
      </c>
      <c r="V195" s="495"/>
      <c r="W195" s="495"/>
      <c r="X195" s="495"/>
      <c r="Y195" s="495"/>
      <c r="Z195" s="495"/>
      <c r="AA195" s="495"/>
      <c r="AB195" s="495"/>
      <c r="AC195" s="495"/>
      <c r="AD195" s="495"/>
      <c r="AE195" s="495"/>
      <c r="AF195" s="495"/>
      <c r="AG195" s="495"/>
      <c r="AH195" s="495"/>
      <c r="AI195" s="495"/>
      <c r="AJ195" s="495"/>
      <c r="AK195" s="495"/>
      <c r="AL195" s="495"/>
      <c r="AM195" s="495"/>
      <c r="AN195" s="495"/>
      <c r="AO195" s="495"/>
    </row>
    <row r="196" spans="1:41" ht="12.9" customHeight="1" x14ac:dyDescent="0.2">
      <c r="A196" s="505" t="str">
        <f>+'Past Quartets 1st - 3rd Place'!A196</f>
        <v>1993 P</v>
      </c>
      <c r="B196" s="505">
        <f>+'Past Quartets 1st - 3rd Place'!B196</f>
        <v>4</v>
      </c>
      <c r="C196" s="197" t="s">
        <v>3588</v>
      </c>
      <c r="D196" s="197" t="s">
        <v>3708</v>
      </c>
      <c r="E196" s="7" t="s">
        <v>249</v>
      </c>
      <c r="F196" s="2" t="s">
        <v>250</v>
      </c>
      <c r="G196" s="2" t="s">
        <v>3512</v>
      </c>
      <c r="H196" s="3" t="s">
        <v>3513</v>
      </c>
      <c r="I196" s="197" t="s">
        <v>3215</v>
      </c>
      <c r="J196" s="197" t="s">
        <v>3215</v>
      </c>
      <c r="K196" s="7" t="s">
        <v>3215</v>
      </c>
      <c r="L196" s="2" t="s">
        <v>3215</v>
      </c>
      <c r="M196" s="2" t="s">
        <v>3215</v>
      </c>
      <c r="N196" s="3" t="s">
        <v>3215</v>
      </c>
      <c r="O196" s="197" t="s">
        <v>3215</v>
      </c>
      <c r="P196" s="197" t="s">
        <v>3215</v>
      </c>
      <c r="Q196" s="7" t="s">
        <v>3215</v>
      </c>
      <c r="R196" s="2" t="s">
        <v>3215</v>
      </c>
      <c r="S196" s="2" t="s">
        <v>3215</v>
      </c>
      <c r="T196" s="3" t="s">
        <v>3215</v>
      </c>
      <c r="V196" s="495"/>
      <c r="W196" s="495"/>
      <c r="X196" s="495"/>
      <c r="Y196" s="495"/>
      <c r="Z196" s="495"/>
      <c r="AA196" s="495"/>
      <c r="AB196" s="495"/>
      <c r="AC196" s="495"/>
      <c r="AD196" s="495"/>
      <c r="AE196" s="495"/>
      <c r="AF196" s="495"/>
      <c r="AG196" s="495"/>
      <c r="AH196" s="495"/>
      <c r="AI196" s="495"/>
      <c r="AJ196" s="495"/>
      <c r="AK196" s="495"/>
      <c r="AL196" s="495"/>
      <c r="AM196" s="495"/>
      <c r="AN196" s="495"/>
      <c r="AO196" s="495"/>
    </row>
    <row r="197" spans="1:41" ht="12.9" customHeight="1" x14ac:dyDescent="0.2">
      <c r="A197" s="505" t="str">
        <f>+'Past Quartets 1st - 3rd Place'!A197</f>
        <v>1994 P</v>
      </c>
      <c r="B197" s="505">
        <f>+'Past Quartets 1st - 3rd Place'!B197</f>
        <v>3</v>
      </c>
      <c r="C197" s="197" t="s">
        <v>3215</v>
      </c>
      <c r="D197" s="197" t="s">
        <v>3215</v>
      </c>
      <c r="E197" s="7" t="s">
        <v>3215</v>
      </c>
      <c r="F197" s="2" t="s">
        <v>3215</v>
      </c>
      <c r="G197" s="2" t="s">
        <v>3215</v>
      </c>
      <c r="H197" s="3" t="s">
        <v>3215</v>
      </c>
      <c r="I197" s="197" t="s">
        <v>3215</v>
      </c>
      <c r="J197" s="197" t="s">
        <v>3215</v>
      </c>
      <c r="K197" s="7" t="s">
        <v>3215</v>
      </c>
      <c r="L197" s="2" t="s">
        <v>3215</v>
      </c>
      <c r="M197" s="2" t="s">
        <v>3215</v>
      </c>
      <c r="N197" s="3" t="s">
        <v>3215</v>
      </c>
      <c r="O197" s="197" t="s">
        <v>3215</v>
      </c>
      <c r="P197" s="197" t="s">
        <v>3215</v>
      </c>
      <c r="Q197" s="7" t="s">
        <v>3215</v>
      </c>
      <c r="R197" s="2" t="s">
        <v>3215</v>
      </c>
      <c r="S197" s="2" t="s">
        <v>3215</v>
      </c>
      <c r="T197" s="3" t="s">
        <v>3215</v>
      </c>
      <c r="V197" s="495"/>
      <c r="W197" s="495"/>
      <c r="X197" s="495"/>
      <c r="Y197" s="495"/>
      <c r="Z197" s="495"/>
      <c r="AA197" s="495"/>
      <c r="AB197" s="495"/>
      <c r="AC197" s="495"/>
      <c r="AD197" s="495"/>
      <c r="AE197" s="495"/>
      <c r="AF197" s="495"/>
      <c r="AG197" s="495"/>
      <c r="AH197" s="495"/>
      <c r="AI197" s="495"/>
      <c r="AJ197" s="495"/>
      <c r="AK197" s="495"/>
      <c r="AL197" s="495"/>
      <c r="AM197" s="495"/>
      <c r="AN197" s="495"/>
      <c r="AO197" s="495"/>
    </row>
    <row r="198" spans="1:41" ht="12.9" customHeight="1" x14ac:dyDescent="0.2">
      <c r="A198" s="505" t="str">
        <f>+'Past Quartets 1st - 3rd Place'!A198</f>
        <v>1995 P</v>
      </c>
      <c r="B198" s="505">
        <f>+'Past Quartets 1st - 3rd Place'!B198</f>
        <v>4</v>
      </c>
      <c r="C198" s="197" t="s">
        <v>699</v>
      </c>
      <c r="D198" s="197" t="s">
        <v>700</v>
      </c>
      <c r="E198" s="7" t="s">
        <v>3919</v>
      </c>
      <c r="F198" s="2" t="s">
        <v>2973</v>
      </c>
      <c r="G198" s="2" t="s">
        <v>3920</v>
      </c>
      <c r="H198" s="3" t="s">
        <v>3921</v>
      </c>
      <c r="I198" s="197" t="s">
        <v>3215</v>
      </c>
      <c r="J198" s="197" t="s">
        <v>3215</v>
      </c>
      <c r="K198" s="7" t="s">
        <v>3215</v>
      </c>
      <c r="L198" s="2" t="s">
        <v>3215</v>
      </c>
      <c r="M198" s="2" t="s">
        <v>3215</v>
      </c>
      <c r="N198" s="3" t="s">
        <v>3215</v>
      </c>
      <c r="O198" s="197" t="s">
        <v>3215</v>
      </c>
      <c r="P198" s="197" t="s">
        <v>3215</v>
      </c>
      <c r="Q198" s="7" t="s">
        <v>3215</v>
      </c>
      <c r="R198" s="2" t="s">
        <v>3215</v>
      </c>
      <c r="S198" s="2" t="s">
        <v>3215</v>
      </c>
      <c r="T198" s="3" t="s">
        <v>3215</v>
      </c>
      <c r="V198" s="495"/>
      <c r="W198" s="495"/>
      <c r="X198" s="495"/>
      <c r="Y198" s="495"/>
      <c r="Z198" s="495"/>
      <c r="AA198" s="495"/>
      <c r="AB198" s="495"/>
      <c r="AC198" s="495"/>
      <c r="AD198" s="495"/>
      <c r="AE198" s="495"/>
      <c r="AF198" s="495"/>
      <c r="AG198" s="495"/>
      <c r="AH198" s="495"/>
      <c r="AI198" s="495"/>
      <c r="AJ198" s="495"/>
      <c r="AK198" s="495"/>
      <c r="AL198" s="495"/>
      <c r="AM198" s="495"/>
      <c r="AN198" s="495"/>
      <c r="AO198" s="495"/>
    </row>
    <row r="199" spans="1:41" ht="12.9" customHeight="1" x14ac:dyDescent="0.2">
      <c r="A199" s="505" t="str">
        <f>+'Past Quartets 1st - 3rd Place'!A199</f>
        <v>1996 P</v>
      </c>
      <c r="B199" s="505">
        <f>+'Past Quartets 1st - 3rd Place'!B199</f>
        <v>2</v>
      </c>
      <c r="C199" s="197" t="s">
        <v>3215</v>
      </c>
      <c r="D199" s="197" t="s">
        <v>3215</v>
      </c>
      <c r="E199" s="7" t="s">
        <v>3215</v>
      </c>
      <c r="F199" s="2" t="s">
        <v>3215</v>
      </c>
      <c r="G199" s="2" t="s">
        <v>3215</v>
      </c>
      <c r="H199" s="3" t="s">
        <v>3215</v>
      </c>
      <c r="I199" s="197" t="s">
        <v>3215</v>
      </c>
      <c r="J199" s="197" t="s">
        <v>3215</v>
      </c>
      <c r="K199" s="7" t="s">
        <v>3215</v>
      </c>
      <c r="L199" s="2" t="s">
        <v>3215</v>
      </c>
      <c r="M199" s="2" t="s">
        <v>3215</v>
      </c>
      <c r="N199" s="3" t="s">
        <v>3215</v>
      </c>
      <c r="O199" s="197" t="s">
        <v>3215</v>
      </c>
      <c r="P199" s="197" t="s">
        <v>3215</v>
      </c>
      <c r="Q199" s="7" t="s">
        <v>3215</v>
      </c>
      <c r="R199" s="2" t="s">
        <v>3215</v>
      </c>
      <c r="S199" s="2" t="s">
        <v>3215</v>
      </c>
      <c r="T199" s="3" t="s">
        <v>3215</v>
      </c>
      <c r="V199" s="495"/>
      <c r="W199" s="495"/>
      <c r="X199" s="495"/>
      <c r="Y199" s="495"/>
      <c r="Z199" s="495"/>
      <c r="AA199" s="495"/>
      <c r="AB199" s="495"/>
      <c r="AC199" s="495"/>
      <c r="AD199" s="495"/>
      <c r="AE199" s="495"/>
      <c r="AF199" s="495"/>
      <c r="AG199" s="495"/>
      <c r="AH199" s="495"/>
      <c r="AI199" s="495"/>
      <c r="AJ199" s="495"/>
      <c r="AK199" s="495"/>
      <c r="AL199" s="495"/>
      <c r="AM199" s="495"/>
      <c r="AN199" s="495"/>
      <c r="AO199" s="495"/>
    </row>
    <row r="200" spans="1:41" ht="12.9" customHeight="1" x14ac:dyDescent="0.2">
      <c r="A200" s="505" t="str">
        <f>+'Past Quartets 1st - 3rd Place'!A200</f>
        <v>1997 P</v>
      </c>
      <c r="B200" s="505">
        <f>+'Past Quartets 1st - 3rd Place'!B200</f>
        <v>3</v>
      </c>
      <c r="C200" s="197" t="s">
        <v>3215</v>
      </c>
      <c r="D200" s="197" t="s">
        <v>3215</v>
      </c>
      <c r="E200" s="7" t="s">
        <v>3215</v>
      </c>
      <c r="F200" s="2" t="s">
        <v>3215</v>
      </c>
      <c r="G200" s="2" t="s">
        <v>3215</v>
      </c>
      <c r="H200" s="3" t="s">
        <v>3215</v>
      </c>
      <c r="I200" s="197" t="s">
        <v>3215</v>
      </c>
      <c r="J200" s="197" t="s">
        <v>3215</v>
      </c>
      <c r="K200" s="7" t="s">
        <v>3215</v>
      </c>
      <c r="L200" s="2" t="s">
        <v>3215</v>
      </c>
      <c r="M200" s="2" t="s">
        <v>3215</v>
      </c>
      <c r="N200" s="3" t="s">
        <v>3215</v>
      </c>
      <c r="O200" s="197" t="s">
        <v>3215</v>
      </c>
      <c r="P200" s="197" t="s">
        <v>3215</v>
      </c>
      <c r="Q200" s="7" t="s">
        <v>3215</v>
      </c>
      <c r="R200" s="2" t="s">
        <v>3215</v>
      </c>
      <c r="S200" s="2" t="s">
        <v>3215</v>
      </c>
      <c r="T200" s="3" t="s">
        <v>3215</v>
      </c>
      <c r="V200" s="495"/>
      <c r="W200" s="495"/>
      <c r="X200" s="495"/>
      <c r="Y200" s="495"/>
      <c r="Z200" s="495"/>
      <c r="AA200" s="495"/>
      <c r="AB200" s="495"/>
      <c r="AC200" s="495"/>
      <c r="AD200" s="495"/>
      <c r="AE200" s="495"/>
      <c r="AF200" s="495"/>
      <c r="AG200" s="495"/>
      <c r="AH200" s="495"/>
      <c r="AI200" s="495"/>
      <c r="AJ200" s="495"/>
      <c r="AK200" s="495"/>
      <c r="AL200" s="495"/>
      <c r="AM200" s="495"/>
      <c r="AN200" s="495"/>
      <c r="AO200" s="495"/>
    </row>
    <row r="201" spans="1:41" ht="12.9" customHeight="1" x14ac:dyDescent="0.2">
      <c r="A201" s="505" t="str">
        <f>+'Past Quartets 1st - 3rd Place'!A201</f>
        <v>1998 P</v>
      </c>
      <c r="B201" s="505">
        <f>+'Past Quartets 1st - 3rd Place'!B201</f>
        <v>2</v>
      </c>
      <c r="C201" s="197" t="s">
        <v>3215</v>
      </c>
      <c r="D201" s="197" t="s">
        <v>3215</v>
      </c>
      <c r="E201" s="7" t="s">
        <v>3215</v>
      </c>
      <c r="F201" s="2" t="s">
        <v>3215</v>
      </c>
      <c r="G201" s="2" t="s">
        <v>3215</v>
      </c>
      <c r="H201" s="3" t="s">
        <v>3215</v>
      </c>
      <c r="I201" s="197" t="s">
        <v>3215</v>
      </c>
      <c r="J201" s="197" t="s">
        <v>3215</v>
      </c>
      <c r="K201" s="7" t="s">
        <v>3215</v>
      </c>
      <c r="L201" s="2" t="s">
        <v>3215</v>
      </c>
      <c r="M201" s="2" t="s">
        <v>3215</v>
      </c>
      <c r="N201" s="3" t="s">
        <v>3215</v>
      </c>
      <c r="O201" s="197" t="s">
        <v>3215</v>
      </c>
      <c r="P201" s="197" t="s">
        <v>3215</v>
      </c>
      <c r="Q201" s="7" t="s">
        <v>3215</v>
      </c>
      <c r="R201" s="2" t="s">
        <v>3215</v>
      </c>
      <c r="S201" s="2" t="s">
        <v>3215</v>
      </c>
      <c r="T201" s="3" t="s">
        <v>3215</v>
      </c>
      <c r="V201" s="495"/>
      <c r="W201" s="495"/>
      <c r="X201" s="495"/>
      <c r="Y201" s="495"/>
      <c r="Z201" s="495"/>
      <c r="AA201" s="495"/>
      <c r="AB201" s="495"/>
      <c r="AC201" s="495"/>
      <c r="AD201" s="495"/>
      <c r="AE201" s="495"/>
      <c r="AF201" s="495"/>
      <c r="AG201" s="495"/>
      <c r="AH201" s="495"/>
      <c r="AI201" s="495"/>
      <c r="AJ201" s="495"/>
      <c r="AK201" s="495"/>
      <c r="AL201" s="495"/>
      <c r="AM201" s="495"/>
      <c r="AN201" s="495"/>
      <c r="AO201" s="495"/>
    </row>
    <row r="202" spans="1:41" ht="12.9" customHeight="1" x14ac:dyDescent="0.2">
      <c r="A202" s="505" t="str">
        <f>+'Past Quartets 1st - 3rd Place'!A202</f>
        <v>1999 P</v>
      </c>
      <c r="B202" s="505">
        <f>+'Past Quartets 1st - 3rd Place'!B202</f>
        <v>3</v>
      </c>
      <c r="C202" s="197" t="s">
        <v>3215</v>
      </c>
      <c r="D202" s="197" t="s">
        <v>3215</v>
      </c>
      <c r="E202" s="7" t="s">
        <v>3215</v>
      </c>
      <c r="F202" s="2" t="s">
        <v>3215</v>
      </c>
      <c r="G202" s="2" t="s">
        <v>3215</v>
      </c>
      <c r="H202" s="3" t="s">
        <v>3215</v>
      </c>
      <c r="I202" s="197" t="s">
        <v>3215</v>
      </c>
      <c r="J202" s="197" t="s">
        <v>3215</v>
      </c>
      <c r="K202" s="7" t="s">
        <v>3215</v>
      </c>
      <c r="L202" s="2" t="s">
        <v>3215</v>
      </c>
      <c r="M202" s="2" t="s">
        <v>3215</v>
      </c>
      <c r="N202" s="3" t="s">
        <v>3215</v>
      </c>
      <c r="O202" s="197" t="s">
        <v>3215</v>
      </c>
      <c r="P202" s="197" t="s">
        <v>3215</v>
      </c>
      <c r="Q202" s="7" t="s">
        <v>3215</v>
      </c>
      <c r="R202" s="2" t="s">
        <v>3215</v>
      </c>
      <c r="S202" s="2" t="s">
        <v>3215</v>
      </c>
      <c r="T202" s="3" t="s">
        <v>3215</v>
      </c>
      <c r="V202" s="495"/>
      <c r="W202" s="495"/>
      <c r="X202" s="495"/>
      <c r="Y202" s="495"/>
      <c r="Z202" s="495"/>
      <c r="AA202" s="495"/>
      <c r="AB202" s="495"/>
      <c r="AC202" s="495"/>
      <c r="AD202" s="495"/>
      <c r="AE202" s="495"/>
      <c r="AF202" s="495"/>
      <c r="AG202" s="495"/>
      <c r="AH202" s="495"/>
      <c r="AI202" s="495"/>
      <c r="AJ202" s="495"/>
      <c r="AK202" s="495"/>
      <c r="AL202" s="495"/>
      <c r="AM202" s="495"/>
      <c r="AN202" s="495"/>
      <c r="AO202" s="495"/>
    </row>
    <row r="203" spans="1:41" ht="12.9" customHeight="1" x14ac:dyDescent="0.2">
      <c r="A203" s="505" t="str">
        <f>+'Past Quartets 1st - 3rd Place'!A203</f>
        <v>2000 P</v>
      </c>
      <c r="B203" s="505">
        <f>+'Past Quartets 1st - 3rd Place'!B203</f>
        <v>1</v>
      </c>
      <c r="C203" s="197" t="s">
        <v>3215</v>
      </c>
      <c r="D203" s="197" t="s">
        <v>3215</v>
      </c>
      <c r="E203" s="7" t="s">
        <v>3215</v>
      </c>
      <c r="F203" s="2" t="s">
        <v>3215</v>
      </c>
      <c r="G203" s="2" t="s">
        <v>3215</v>
      </c>
      <c r="H203" s="3" t="s">
        <v>3215</v>
      </c>
      <c r="I203" s="197" t="s">
        <v>3215</v>
      </c>
      <c r="J203" s="197" t="s">
        <v>3215</v>
      </c>
      <c r="K203" s="7" t="s">
        <v>3215</v>
      </c>
      <c r="L203" s="2" t="s">
        <v>3215</v>
      </c>
      <c r="M203" s="2" t="s">
        <v>3215</v>
      </c>
      <c r="N203" s="3" t="s">
        <v>3215</v>
      </c>
      <c r="O203" s="197" t="s">
        <v>3215</v>
      </c>
      <c r="P203" s="197" t="s">
        <v>3215</v>
      </c>
      <c r="Q203" s="7" t="s">
        <v>3215</v>
      </c>
      <c r="R203" s="2" t="s">
        <v>3215</v>
      </c>
      <c r="S203" s="2" t="s">
        <v>3215</v>
      </c>
      <c r="T203" s="3" t="s">
        <v>3215</v>
      </c>
      <c r="V203" s="495"/>
      <c r="W203" s="495"/>
      <c r="X203" s="495"/>
      <c r="Y203" s="495"/>
      <c r="Z203" s="495"/>
      <c r="AA203" s="495"/>
      <c r="AB203" s="495"/>
      <c r="AC203" s="495"/>
      <c r="AD203" s="495"/>
      <c r="AE203" s="495"/>
      <c r="AF203" s="495"/>
      <c r="AG203" s="495"/>
      <c r="AH203" s="495"/>
      <c r="AI203" s="495"/>
      <c r="AJ203" s="495"/>
      <c r="AK203" s="495"/>
      <c r="AL203" s="495"/>
      <c r="AM203" s="495"/>
      <c r="AN203" s="495"/>
      <c r="AO203" s="495"/>
    </row>
    <row r="204" spans="1:41" ht="12.9" customHeight="1" x14ac:dyDescent="0.2">
      <c r="A204" s="505" t="str">
        <f>+'Past Quartets 1st - 3rd Place'!A204</f>
        <v>2001 P</v>
      </c>
      <c r="B204" s="505">
        <f>+'Past Quartets 1st - 3rd Place'!B204</f>
        <v>3</v>
      </c>
      <c r="C204" s="197" t="s">
        <v>3215</v>
      </c>
      <c r="D204" s="197" t="s">
        <v>3215</v>
      </c>
      <c r="E204" s="7" t="s">
        <v>3215</v>
      </c>
      <c r="F204" s="2" t="s">
        <v>3215</v>
      </c>
      <c r="G204" s="2" t="s">
        <v>3215</v>
      </c>
      <c r="H204" s="3" t="s">
        <v>3215</v>
      </c>
      <c r="I204" s="197" t="s">
        <v>3215</v>
      </c>
      <c r="J204" s="197" t="s">
        <v>3215</v>
      </c>
      <c r="K204" s="7" t="s">
        <v>3215</v>
      </c>
      <c r="L204" s="2" t="s">
        <v>3215</v>
      </c>
      <c r="M204" s="2" t="s">
        <v>3215</v>
      </c>
      <c r="N204" s="3" t="s">
        <v>3215</v>
      </c>
      <c r="O204" s="197" t="s">
        <v>3215</v>
      </c>
      <c r="P204" s="197" t="s">
        <v>3215</v>
      </c>
      <c r="Q204" s="7" t="s">
        <v>3215</v>
      </c>
      <c r="R204" s="2" t="s">
        <v>3215</v>
      </c>
      <c r="S204" s="2" t="s">
        <v>3215</v>
      </c>
      <c r="T204" s="3" t="s">
        <v>3215</v>
      </c>
      <c r="V204" s="495"/>
      <c r="W204" s="495"/>
      <c r="X204" s="495"/>
      <c r="Y204" s="495"/>
      <c r="Z204" s="495"/>
      <c r="AA204" s="495"/>
      <c r="AB204" s="495"/>
      <c r="AC204" s="495"/>
      <c r="AD204" s="495"/>
      <c r="AE204" s="495"/>
      <c r="AF204" s="495"/>
      <c r="AG204" s="495"/>
      <c r="AH204" s="495"/>
      <c r="AI204" s="495"/>
      <c r="AJ204" s="495"/>
      <c r="AK204" s="495"/>
      <c r="AL204" s="495"/>
      <c r="AM204" s="495"/>
      <c r="AN204" s="495"/>
      <c r="AO204" s="495"/>
    </row>
    <row r="205" spans="1:41" ht="12.9" customHeight="1" x14ac:dyDescent="0.2">
      <c r="A205" s="505" t="str">
        <f>+'Past Quartets 1st - 3rd Place'!A205</f>
        <v>2002 P</v>
      </c>
      <c r="B205" s="505">
        <f>+'Past Quartets 1st - 3rd Place'!B205</f>
        <v>3</v>
      </c>
      <c r="C205" s="197" t="s">
        <v>3215</v>
      </c>
      <c r="D205" s="197" t="s">
        <v>3215</v>
      </c>
      <c r="E205" s="7" t="s">
        <v>3215</v>
      </c>
      <c r="F205" s="2" t="s">
        <v>3215</v>
      </c>
      <c r="G205" s="2" t="s">
        <v>3215</v>
      </c>
      <c r="H205" s="3" t="s">
        <v>3215</v>
      </c>
      <c r="I205" s="197" t="s">
        <v>3215</v>
      </c>
      <c r="J205" s="197" t="s">
        <v>3215</v>
      </c>
      <c r="K205" s="7" t="s">
        <v>3215</v>
      </c>
      <c r="L205" s="2" t="s">
        <v>3215</v>
      </c>
      <c r="M205" s="2" t="s">
        <v>3215</v>
      </c>
      <c r="N205" s="3" t="s">
        <v>3215</v>
      </c>
      <c r="O205" s="197" t="s">
        <v>3215</v>
      </c>
      <c r="P205" s="197" t="s">
        <v>3215</v>
      </c>
      <c r="Q205" s="7" t="s">
        <v>3215</v>
      </c>
      <c r="R205" s="2" t="s">
        <v>3215</v>
      </c>
      <c r="S205" s="2" t="s">
        <v>3215</v>
      </c>
      <c r="T205" s="3" t="s">
        <v>3215</v>
      </c>
      <c r="V205" s="495"/>
      <c r="W205" s="495"/>
      <c r="X205" s="495"/>
      <c r="Y205" s="495"/>
      <c r="Z205" s="495"/>
      <c r="AA205" s="495"/>
      <c r="AB205" s="495"/>
      <c r="AC205" s="495"/>
      <c r="AD205" s="495"/>
      <c r="AE205" s="495"/>
      <c r="AF205" s="495"/>
      <c r="AG205" s="495"/>
      <c r="AH205" s="495"/>
      <c r="AI205" s="495"/>
      <c r="AJ205" s="495"/>
      <c r="AK205" s="495"/>
      <c r="AL205" s="495"/>
      <c r="AM205" s="495"/>
      <c r="AN205" s="495"/>
      <c r="AO205" s="495"/>
    </row>
    <row r="206" spans="1:41" ht="12.9" customHeight="1" x14ac:dyDescent="0.2">
      <c r="A206" s="505" t="str">
        <f>+'Past Quartets 1st - 3rd Place'!A206</f>
        <v>2003 P</v>
      </c>
      <c r="B206" s="505">
        <f>+'Past Quartets 1st - 3rd Place'!B206</f>
        <v>3</v>
      </c>
      <c r="C206" s="197" t="s">
        <v>3215</v>
      </c>
      <c r="D206" s="197" t="s">
        <v>3215</v>
      </c>
      <c r="E206" s="7" t="s">
        <v>3215</v>
      </c>
      <c r="F206" s="2" t="s">
        <v>3215</v>
      </c>
      <c r="G206" s="2" t="s">
        <v>3215</v>
      </c>
      <c r="H206" s="3" t="s">
        <v>3215</v>
      </c>
      <c r="I206" s="197" t="s">
        <v>3215</v>
      </c>
      <c r="J206" s="197" t="s">
        <v>3215</v>
      </c>
      <c r="K206" s="7" t="s">
        <v>3215</v>
      </c>
      <c r="L206" s="2" t="s">
        <v>3215</v>
      </c>
      <c r="M206" s="2" t="s">
        <v>3215</v>
      </c>
      <c r="N206" s="3" t="s">
        <v>3215</v>
      </c>
      <c r="O206" s="197" t="s">
        <v>3215</v>
      </c>
      <c r="P206" s="197" t="s">
        <v>3215</v>
      </c>
      <c r="Q206" s="7" t="s">
        <v>3215</v>
      </c>
      <c r="R206" s="2" t="s">
        <v>3215</v>
      </c>
      <c r="S206" s="2" t="s">
        <v>3215</v>
      </c>
      <c r="T206" s="3" t="s">
        <v>3215</v>
      </c>
      <c r="V206" s="495"/>
      <c r="W206" s="495"/>
      <c r="X206" s="495"/>
      <c r="Y206" s="495"/>
      <c r="Z206" s="495"/>
      <c r="AA206" s="495"/>
      <c r="AB206" s="495"/>
      <c r="AC206" s="495"/>
      <c r="AD206" s="495"/>
      <c r="AE206" s="495"/>
      <c r="AF206" s="495"/>
      <c r="AG206" s="495"/>
      <c r="AH206" s="495"/>
      <c r="AI206" s="495"/>
      <c r="AJ206" s="495"/>
      <c r="AK206" s="495"/>
      <c r="AL206" s="495"/>
      <c r="AM206" s="495"/>
      <c r="AN206" s="495"/>
      <c r="AO206" s="495"/>
    </row>
    <row r="207" spans="1:41" ht="12.9" customHeight="1" x14ac:dyDescent="0.2">
      <c r="A207" s="505" t="str">
        <f>+'Past Quartets 1st - 3rd Place'!A207</f>
        <v>2004 P</v>
      </c>
      <c r="B207" s="505">
        <f>+'Past Quartets 1st - 3rd Place'!B207</f>
        <v>7</v>
      </c>
      <c r="C207" s="197" t="s">
        <v>3589</v>
      </c>
      <c r="D207" s="204" t="s">
        <v>3612</v>
      </c>
      <c r="E207" s="30" t="s">
        <v>3613</v>
      </c>
      <c r="F207" s="29" t="s">
        <v>3614</v>
      </c>
      <c r="G207" s="29" t="s">
        <v>685</v>
      </c>
      <c r="H207" s="29" t="s">
        <v>686</v>
      </c>
      <c r="I207" s="197" t="s">
        <v>3590</v>
      </c>
      <c r="J207" s="197" t="s">
        <v>2741</v>
      </c>
      <c r="K207" s="7" t="s">
        <v>2742</v>
      </c>
      <c r="L207" s="2" t="s">
        <v>2743</v>
      </c>
      <c r="M207" s="2" t="s">
        <v>2744</v>
      </c>
      <c r="N207" s="3" t="s">
        <v>2745</v>
      </c>
      <c r="O207" s="197" t="s">
        <v>3591</v>
      </c>
      <c r="P207" s="197" t="s">
        <v>3287</v>
      </c>
      <c r="Q207" s="7" t="s">
        <v>2079</v>
      </c>
      <c r="R207" s="2" t="s">
        <v>2080</v>
      </c>
      <c r="S207" s="2" t="s">
        <v>2081</v>
      </c>
      <c r="T207" s="3" t="s">
        <v>439</v>
      </c>
      <c r="V207" s="495"/>
      <c r="W207" s="495"/>
      <c r="X207" s="495"/>
      <c r="Y207" s="495"/>
      <c r="Z207" s="495"/>
      <c r="AA207" s="495"/>
      <c r="AB207" s="495"/>
      <c r="AC207" s="495"/>
      <c r="AD207" s="495"/>
      <c r="AE207" s="495"/>
      <c r="AF207" s="495"/>
      <c r="AG207" s="495"/>
      <c r="AH207" s="495"/>
      <c r="AI207" s="495"/>
      <c r="AJ207" s="495"/>
      <c r="AK207" s="495"/>
      <c r="AL207" s="495"/>
      <c r="AM207" s="495"/>
      <c r="AN207" s="495"/>
      <c r="AO207" s="495"/>
    </row>
    <row r="208" spans="1:41" ht="12.9" customHeight="1" x14ac:dyDescent="0.2">
      <c r="A208" s="505" t="str">
        <f>+'Past Quartets 1st - 3rd Place'!A208</f>
        <v>2005 P</v>
      </c>
      <c r="B208" s="505">
        <f>+'Past Quartets 1st - 3rd Place'!B208</f>
        <v>1</v>
      </c>
      <c r="C208" s="197" t="s">
        <v>3215</v>
      </c>
      <c r="D208" s="197" t="s">
        <v>3215</v>
      </c>
      <c r="E208" s="7" t="s">
        <v>3215</v>
      </c>
      <c r="F208" s="2" t="s">
        <v>3215</v>
      </c>
      <c r="G208" s="2" t="s">
        <v>3215</v>
      </c>
      <c r="H208" s="3" t="s">
        <v>3215</v>
      </c>
      <c r="I208" s="197" t="s">
        <v>3215</v>
      </c>
      <c r="J208" s="197" t="s">
        <v>3215</v>
      </c>
      <c r="K208" s="7" t="s">
        <v>3215</v>
      </c>
      <c r="L208" s="2" t="s">
        <v>3215</v>
      </c>
      <c r="M208" s="2" t="s">
        <v>3215</v>
      </c>
      <c r="N208" s="3" t="s">
        <v>3215</v>
      </c>
      <c r="O208" s="197" t="s">
        <v>3215</v>
      </c>
      <c r="P208" s="197" t="s">
        <v>3215</v>
      </c>
      <c r="Q208" s="7" t="s">
        <v>3215</v>
      </c>
      <c r="R208" s="2" t="s">
        <v>3215</v>
      </c>
      <c r="S208" s="2" t="s">
        <v>3215</v>
      </c>
      <c r="T208" s="3" t="s">
        <v>3215</v>
      </c>
      <c r="V208" s="495"/>
      <c r="W208" s="495"/>
      <c r="X208" s="495"/>
      <c r="Y208" s="495"/>
      <c r="Z208" s="495"/>
      <c r="AA208" s="495"/>
      <c r="AB208" s="495"/>
      <c r="AC208" s="495"/>
      <c r="AD208" s="495"/>
      <c r="AE208" s="495"/>
      <c r="AF208" s="495"/>
      <c r="AG208" s="495"/>
      <c r="AH208" s="495"/>
      <c r="AI208" s="495"/>
      <c r="AJ208" s="495"/>
      <c r="AK208" s="495"/>
      <c r="AL208" s="495"/>
      <c r="AM208" s="495"/>
      <c r="AN208" s="495"/>
      <c r="AO208" s="495"/>
    </row>
    <row r="209" spans="1:41" ht="12.9" customHeight="1" x14ac:dyDescent="0.2">
      <c r="A209" s="505" t="str">
        <f>+'Past Quartets 1st - 3rd Place'!A209</f>
        <v>2006 P</v>
      </c>
      <c r="B209" s="505">
        <f>+'Past Quartets 1st - 3rd Place'!B209</f>
        <v>3</v>
      </c>
      <c r="C209" s="197" t="s">
        <v>3215</v>
      </c>
      <c r="D209" s="197" t="s">
        <v>3215</v>
      </c>
      <c r="E209" s="7" t="s">
        <v>3215</v>
      </c>
      <c r="F209" s="2" t="s">
        <v>3215</v>
      </c>
      <c r="G209" s="2" t="s">
        <v>3215</v>
      </c>
      <c r="H209" s="3" t="s">
        <v>3215</v>
      </c>
      <c r="I209" s="197" t="s">
        <v>3215</v>
      </c>
      <c r="J209" s="197" t="s">
        <v>3215</v>
      </c>
      <c r="K209" s="7" t="s">
        <v>3215</v>
      </c>
      <c r="L209" s="2" t="s">
        <v>3215</v>
      </c>
      <c r="M209" s="2" t="s">
        <v>3215</v>
      </c>
      <c r="N209" s="3" t="s">
        <v>3215</v>
      </c>
      <c r="O209" s="197" t="s">
        <v>3215</v>
      </c>
      <c r="P209" s="197" t="s">
        <v>3215</v>
      </c>
      <c r="Q209" s="7" t="s">
        <v>3215</v>
      </c>
      <c r="R209" s="2" t="s">
        <v>3215</v>
      </c>
      <c r="S209" s="2" t="s">
        <v>3215</v>
      </c>
      <c r="T209" s="3" t="s">
        <v>3215</v>
      </c>
      <c r="V209" s="495"/>
      <c r="W209" s="495"/>
      <c r="X209" s="495"/>
      <c r="Y209" s="495"/>
      <c r="Z209" s="495"/>
      <c r="AA209" s="495"/>
      <c r="AB209" s="495"/>
      <c r="AC209" s="495"/>
      <c r="AD209" s="495"/>
      <c r="AE209" s="495"/>
      <c r="AF209" s="495"/>
      <c r="AG209" s="495"/>
      <c r="AH209" s="495"/>
      <c r="AI209" s="495"/>
      <c r="AJ209" s="495"/>
      <c r="AK209" s="495"/>
      <c r="AL209" s="495"/>
      <c r="AM209" s="495"/>
      <c r="AN209" s="495"/>
      <c r="AO209" s="495"/>
    </row>
    <row r="210" spans="1:41" ht="12.9" customHeight="1" x14ac:dyDescent="0.2">
      <c r="A210" s="505" t="str">
        <f>+'Past Quartets 1st - 3rd Place'!A210</f>
        <v>2007 P</v>
      </c>
      <c r="B210" s="505">
        <f>+'Past Quartets 1st - 3rd Place'!B210</f>
        <v>1</v>
      </c>
      <c r="C210" s="197" t="s">
        <v>3215</v>
      </c>
      <c r="D210" s="197" t="s">
        <v>3215</v>
      </c>
      <c r="E210" s="7" t="s">
        <v>3215</v>
      </c>
      <c r="F210" s="2" t="s">
        <v>3215</v>
      </c>
      <c r="G210" s="2" t="s">
        <v>3215</v>
      </c>
      <c r="H210" s="3" t="s">
        <v>3215</v>
      </c>
      <c r="I210" s="197" t="s">
        <v>3215</v>
      </c>
      <c r="J210" s="197" t="s">
        <v>3215</v>
      </c>
      <c r="K210" s="7" t="s">
        <v>3215</v>
      </c>
      <c r="L210" s="2" t="s">
        <v>3215</v>
      </c>
      <c r="M210" s="2" t="s">
        <v>3215</v>
      </c>
      <c r="N210" s="3" t="s">
        <v>3215</v>
      </c>
      <c r="O210" s="197" t="s">
        <v>3215</v>
      </c>
      <c r="P210" s="197" t="s">
        <v>3215</v>
      </c>
      <c r="Q210" s="7" t="s">
        <v>3215</v>
      </c>
      <c r="R210" s="2" t="s">
        <v>3215</v>
      </c>
      <c r="S210" s="2" t="s">
        <v>3215</v>
      </c>
      <c r="T210" s="3" t="s">
        <v>3215</v>
      </c>
      <c r="V210" s="495"/>
      <c r="W210" s="495"/>
      <c r="X210" s="495"/>
      <c r="Y210" s="495"/>
      <c r="Z210" s="495"/>
      <c r="AA210" s="495"/>
      <c r="AB210" s="495"/>
      <c r="AC210" s="495"/>
      <c r="AD210" s="495"/>
      <c r="AE210" s="495"/>
      <c r="AF210" s="495"/>
      <c r="AG210" s="495"/>
      <c r="AH210" s="495"/>
      <c r="AI210" s="495"/>
      <c r="AJ210" s="495"/>
      <c r="AK210" s="495"/>
      <c r="AL210" s="495"/>
      <c r="AM210" s="495"/>
      <c r="AN210" s="495"/>
      <c r="AO210" s="495"/>
    </row>
    <row r="211" spans="1:41" ht="12.9" customHeight="1" x14ac:dyDescent="0.2">
      <c r="A211" s="505" t="str">
        <f>+'Past Quartets 1st - 3rd Place'!A211</f>
        <v>2008 P</v>
      </c>
      <c r="B211" s="505">
        <f>+'Past Quartets 1st - 3rd Place'!B211</f>
        <v>8</v>
      </c>
      <c r="C211" s="197" t="s">
        <v>2333</v>
      </c>
      <c r="D211" s="197" t="s">
        <v>148</v>
      </c>
      <c r="E211" s="7" t="s">
        <v>2334</v>
      </c>
      <c r="F211" s="2" t="s">
        <v>2335</v>
      </c>
      <c r="G211" s="2" t="s">
        <v>2336</v>
      </c>
      <c r="H211" s="3" t="s">
        <v>2337</v>
      </c>
      <c r="I211" s="197" t="s">
        <v>2338</v>
      </c>
      <c r="J211" s="197" t="s">
        <v>4079</v>
      </c>
      <c r="K211" s="7" t="s">
        <v>3870</v>
      </c>
      <c r="L211" s="2" t="s">
        <v>3871</v>
      </c>
      <c r="M211" s="2" t="s">
        <v>3872</v>
      </c>
      <c r="N211" s="3" t="s">
        <v>3514</v>
      </c>
      <c r="O211" s="197" t="s">
        <v>3873</v>
      </c>
      <c r="P211" s="197" t="s">
        <v>2668</v>
      </c>
      <c r="Q211" s="7" t="s">
        <v>3874</v>
      </c>
      <c r="R211" s="2" t="s">
        <v>3875</v>
      </c>
      <c r="S211" s="2" t="s">
        <v>3876</v>
      </c>
      <c r="T211" s="3" t="s">
        <v>3877</v>
      </c>
      <c r="V211" s="495"/>
      <c r="W211" s="495"/>
      <c r="X211" s="495"/>
      <c r="Y211" s="495"/>
      <c r="Z211" s="495"/>
      <c r="AA211" s="495"/>
      <c r="AB211" s="495"/>
      <c r="AC211" s="495"/>
      <c r="AD211" s="495"/>
      <c r="AE211" s="495"/>
      <c r="AF211" s="495"/>
      <c r="AG211" s="495"/>
      <c r="AH211" s="495"/>
      <c r="AI211" s="495"/>
      <c r="AJ211" s="495"/>
      <c r="AK211" s="495"/>
      <c r="AL211" s="495"/>
      <c r="AM211" s="495"/>
      <c r="AN211" s="495"/>
      <c r="AO211" s="495"/>
    </row>
    <row r="212" spans="1:41" s="507" customFormat="1" ht="12.9" customHeight="1" x14ac:dyDescent="0.2">
      <c r="A212" s="505" t="str">
        <f>+'Past Quartets 1st - 3rd Place'!A212</f>
        <v>2009 P</v>
      </c>
      <c r="B212" s="505">
        <f>+'Past Quartets 1st - 3rd Place'!B212</f>
        <v>5</v>
      </c>
      <c r="C212" s="504" t="s">
        <v>1795</v>
      </c>
      <c r="D212" s="504" t="s">
        <v>3912</v>
      </c>
      <c r="E212" s="2" t="s">
        <v>3909</v>
      </c>
      <c r="F212" s="2" t="s">
        <v>491</v>
      </c>
      <c r="G212" s="2" t="s">
        <v>3910</v>
      </c>
      <c r="H212" s="3" t="s">
        <v>3701</v>
      </c>
      <c r="I212" s="504" t="s">
        <v>2525</v>
      </c>
      <c r="J212" s="504" t="s">
        <v>2526</v>
      </c>
      <c r="K212" s="2" t="s">
        <v>2527</v>
      </c>
      <c r="L212" s="2" t="s">
        <v>2528</v>
      </c>
      <c r="M212" s="2" t="s">
        <v>2530</v>
      </c>
      <c r="N212" s="3" t="s">
        <v>3911</v>
      </c>
      <c r="O212" s="504" t="s">
        <v>3215</v>
      </c>
      <c r="P212" s="504" t="s">
        <v>3215</v>
      </c>
      <c r="Q212" s="2" t="s">
        <v>3215</v>
      </c>
      <c r="R212" s="2" t="s">
        <v>3215</v>
      </c>
      <c r="S212" s="2" t="s">
        <v>3215</v>
      </c>
      <c r="T212" s="3" t="s">
        <v>3215</v>
      </c>
    </row>
    <row r="213" spans="1:41" s="507" customFormat="1" ht="12.9" customHeight="1" x14ac:dyDescent="0.2">
      <c r="A213" s="505" t="str">
        <f>+'Past Quartets 1st - 3rd Place'!A213</f>
        <v>2010 P</v>
      </c>
      <c r="B213" s="505">
        <f>+'Past Quartets 1st - 3rd Place'!B213</f>
        <v>7</v>
      </c>
      <c r="C213" s="504" t="s">
        <v>493</v>
      </c>
      <c r="D213" s="504" t="s">
        <v>504</v>
      </c>
      <c r="E213" s="2" t="s">
        <v>505</v>
      </c>
      <c r="F213" s="2" t="s">
        <v>1282</v>
      </c>
      <c r="G213" s="2" t="s">
        <v>1281</v>
      </c>
      <c r="H213" s="3" t="s">
        <v>1283</v>
      </c>
      <c r="I213" s="504" t="s">
        <v>494</v>
      </c>
      <c r="J213" s="504" t="s">
        <v>4075</v>
      </c>
      <c r="K213" s="2" t="s">
        <v>500</v>
      </c>
      <c r="L213" s="2" t="s">
        <v>501</v>
      </c>
      <c r="M213" s="2" t="s">
        <v>502</v>
      </c>
      <c r="N213" s="3" t="s">
        <v>503</v>
      </c>
      <c r="O213" s="504" t="s">
        <v>495</v>
      </c>
      <c r="P213" s="504" t="s">
        <v>2639</v>
      </c>
      <c r="Q213" s="2" t="s">
        <v>496</v>
      </c>
      <c r="R213" s="2" t="s">
        <v>497</v>
      </c>
      <c r="S213" s="2" t="s">
        <v>498</v>
      </c>
      <c r="T213" s="3" t="s">
        <v>499</v>
      </c>
    </row>
    <row r="214" spans="1:41" s="507" customFormat="1" ht="12.9" customHeight="1" x14ac:dyDescent="0.2">
      <c r="A214" s="505" t="str">
        <f>+'Past Quartets 1st - 3rd Place'!A214</f>
        <v>2011 P</v>
      </c>
      <c r="B214" s="505">
        <f>+'Past Quartets 1st - 3rd Place'!B214</f>
        <v>13</v>
      </c>
      <c r="C214" s="504" t="s">
        <v>1603</v>
      </c>
      <c r="D214" s="504" t="s">
        <v>3357</v>
      </c>
      <c r="E214" s="2" t="s">
        <v>3360</v>
      </c>
      <c r="F214" s="2" t="s">
        <v>1220</v>
      </c>
      <c r="G214" s="2" t="s">
        <v>1221</v>
      </c>
      <c r="H214" s="3" t="s">
        <v>1222</v>
      </c>
      <c r="I214" s="504" t="s">
        <v>4001</v>
      </c>
      <c r="J214" s="504" t="s">
        <v>1223</v>
      </c>
      <c r="K214" s="2" t="s">
        <v>350</v>
      </c>
      <c r="L214" s="2" t="s">
        <v>1224</v>
      </c>
      <c r="M214" s="2" t="s">
        <v>3468</v>
      </c>
      <c r="N214" s="3" t="s">
        <v>1225</v>
      </c>
      <c r="O214" s="504" t="s">
        <v>4002</v>
      </c>
      <c r="P214" s="504" t="s">
        <v>649</v>
      </c>
      <c r="Q214" s="2" t="s">
        <v>1507</v>
      </c>
      <c r="R214" s="2" t="s">
        <v>3557</v>
      </c>
      <c r="S214" s="2" t="s">
        <v>3083</v>
      </c>
      <c r="T214" s="3" t="s">
        <v>432</v>
      </c>
    </row>
    <row r="215" spans="1:41" s="507" customFormat="1" ht="12.9" customHeight="1" x14ac:dyDescent="0.2">
      <c r="A215" s="505" t="str">
        <f>+'Past Quartets 1st - 3rd Place'!A215</f>
        <v>2012 P</v>
      </c>
      <c r="B215" s="505">
        <f>+'Past Quartets 1st - 3rd Place'!B215</f>
        <v>5</v>
      </c>
      <c r="C215" s="197" t="s">
        <v>53</v>
      </c>
      <c r="D215" s="197" t="s">
        <v>314</v>
      </c>
      <c r="E215" s="2" t="s">
        <v>54</v>
      </c>
      <c r="F215" s="2" t="s">
        <v>2136</v>
      </c>
      <c r="G215" s="2" t="s">
        <v>1421</v>
      </c>
      <c r="H215" s="2" t="s">
        <v>3041</v>
      </c>
      <c r="I215" s="197" t="s">
        <v>3890</v>
      </c>
      <c r="J215" s="504" t="s">
        <v>2296</v>
      </c>
      <c r="K215" s="2" t="s">
        <v>1507</v>
      </c>
      <c r="L215" s="2" t="s">
        <v>3891</v>
      </c>
      <c r="M215" s="2" t="s">
        <v>243</v>
      </c>
      <c r="N215" s="3" t="s">
        <v>432</v>
      </c>
      <c r="O215" s="504"/>
      <c r="P215" s="504"/>
      <c r="Q215" s="2"/>
      <c r="R215" s="2"/>
      <c r="S215" s="2"/>
      <c r="T215" s="3"/>
    </row>
    <row r="216" spans="1:41" s="507" customFormat="1" ht="12.9" customHeight="1" x14ac:dyDescent="0.2">
      <c r="A216" s="505" t="str">
        <f>+'Past Quartets 1st - 3rd Place'!A216</f>
        <v>2013 P</v>
      </c>
      <c r="B216" s="505">
        <f>+'Past Quartets 1st - 3rd Place'!B216</f>
        <v>12</v>
      </c>
      <c r="C216" s="197" t="s">
        <v>1606</v>
      </c>
      <c r="D216" s="261" t="s">
        <v>4079</v>
      </c>
      <c r="E216" s="27" t="s">
        <v>3870</v>
      </c>
      <c r="F216" s="27" t="s">
        <v>1226</v>
      </c>
      <c r="G216" s="27" t="s">
        <v>1227</v>
      </c>
      <c r="H216" s="28" t="s">
        <v>51</v>
      </c>
      <c r="I216" s="197" t="s">
        <v>1603</v>
      </c>
      <c r="J216" s="197" t="s">
        <v>3357</v>
      </c>
      <c r="K216" s="2" t="s">
        <v>3360</v>
      </c>
      <c r="L216" s="2" t="s">
        <v>1220</v>
      </c>
      <c r="M216" s="2" t="s">
        <v>2508</v>
      </c>
      <c r="N216" s="3" t="s">
        <v>1222</v>
      </c>
      <c r="O216" s="197" t="s">
        <v>4018</v>
      </c>
      <c r="P216" s="197" t="s">
        <v>2290</v>
      </c>
      <c r="Q216" s="2" t="s">
        <v>2901</v>
      </c>
      <c r="R216" s="2" t="s">
        <v>3557</v>
      </c>
      <c r="S216" s="2" t="s">
        <v>3083</v>
      </c>
      <c r="T216" s="3" t="s">
        <v>3607</v>
      </c>
    </row>
    <row r="217" spans="1:41" s="507" customFormat="1" ht="12.9" customHeight="1" x14ac:dyDescent="0.2">
      <c r="A217" s="505" t="str">
        <f>+'Past Quartets 1st - 3rd Place'!A217</f>
        <v>2014 P</v>
      </c>
      <c r="B217" s="505">
        <f>+'Past Quartets 1st - 3rd Place'!B217</f>
        <v>8</v>
      </c>
      <c r="C217" s="197" t="s">
        <v>909</v>
      </c>
      <c r="D217" s="261" t="s">
        <v>4041</v>
      </c>
      <c r="E217" s="27" t="s">
        <v>2497</v>
      </c>
      <c r="F217" s="27" t="s">
        <v>2136</v>
      </c>
      <c r="G217" s="27" t="s">
        <v>3256</v>
      </c>
      <c r="H217" s="28" t="s">
        <v>4045</v>
      </c>
      <c r="I217" s="197" t="s">
        <v>911</v>
      </c>
      <c r="J217" s="197" t="s">
        <v>579</v>
      </c>
      <c r="K217" s="2" t="s">
        <v>912</v>
      </c>
      <c r="L217" s="2" t="s">
        <v>1831</v>
      </c>
      <c r="M217" s="2" t="s">
        <v>485</v>
      </c>
      <c r="N217" s="3" t="s">
        <v>2921</v>
      </c>
      <c r="O217" s="197" t="s">
        <v>1191</v>
      </c>
      <c r="P217" s="197" t="s">
        <v>913</v>
      </c>
      <c r="Q217" s="2" t="s">
        <v>3284</v>
      </c>
      <c r="R217" s="2" t="s">
        <v>3707</v>
      </c>
      <c r="S217" s="2" t="s">
        <v>2577</v>
      </c>
      <c r="T217" s="3" t="s">
        <v>914</v>
      </c>
    </row>
    <row r="218" spans="1:41" s="507" customFormat="1" ht="12.9" customHeight="1" x14ac:dyDescent="0.2">
      <c r="A218" s="505" t="str">
        <f>+'Past Quartets 1st - 3rd Place'!A218</f>
        <v>2015 P</v>
      </c>
      <c r="B218" s="505">
        <f>+'Past Quartets 1st - 3rd Place'!B218</f>
        <v>4</v>
      </c>
      <c r="C218" s="197" t="s">
        <v>1128</v>
      </c>
      <c r="D218" s="197" t="s">
        <v>1129</v>
      </c>
      <c r="E218" s="2" t="s">
        <v>1130</v>
      </c>
      <c r="F218" s="2" t="s">
        <v>1131</v>
      </c>
      <c r="G218" s="2" t="s">
        <v>1132</v>
      </c>
      <c r="H218" s="3" t="s">
        <v>1133</v>
      </c>
      <c r="I218" s="197"/>
      <c r="J218" s="197"/>
      <c r="K218" s="2"/>
      <c r="L218" s="2"/>
      <c r="M218" s="2"/>
      <c r="N218" s="3"/>
      <c r="O218" s="197"/>
      <c r="P218" s="197"/>
      <c r="Q218" s="2"/>
      <c r="R218" s="2"/>
      <c r="S218" s="2"/>
      <c r="T218" s="3"/>
    </row>
    <row r="219" spans="1:41" s="507" customFormat="1" ht="12.9" customHeight="1" x14ac:dyDescent="0.2">
      <c r="A219" s="505" t="str">
        <f>+'Past Quartets 1st - 3rd Place'!A219</f>
        <v>2016 P</v>
      </c>
      <c r="B219" s="505">
        <f>+'Past Quartets 1st - 3rd Place'!B219</f>
        <v>7</v>
      </c>
      <c r="C219" s="197" t="s">
        <v>909</v>
      </c>
      <c r="D219" s="261" t="s">
        <v>4041</v>
      </c>
      <c r="E219" s="27" t="s">
        <v>2497</v>
      </c>
      <c r="F219" s="27" t="s">
        <v>2136</v>
      </c>
      <c r="G219" s="27" t="s">
        <v>3256</v>
      </c>
      <c r="H219" s="28" t="s">
        <v>4045</v>
      </c>
      <c r="I219" s="197" t="s">
        <v>4352</v>
      </c>
      <c r="J219" s="197" t="s">
        <v>579</v>
      </c>
      <c r="K219" s="2" t="s">
        <v>912</v>
      </c>
      <c r="L219" s="2" t="s">
        <v>2833</v>
      </c>
      <c r="M219" s="2" t="s">
        <v>485</v>
      </c>
      <c r="N219" s="3" t="s">
        <v>2921</v>
      </c>
      <c r="O219" s="197" t="s">
        <v>4375</v>
      </c>
      <c r="P219" s="504" t="s">
        <v>4403</v>
      </c>
      <c r="Q219" s="2" t="s">
        <v>3953</v>
      </c>
      <c r="R219" s="2" t="s">
        <v>4376</v>
      </c>
      <c r="S219" s="2" t="s">
        <v>4377</v>
      </c>
      <c r="T219" s="3" t="s">
        <v>639</v>
      </c>
    </row>
    <row r="220" spans="1:41" s="507" customFormat="1" ht="12.9" customHeight="1" x14ac:dyDescent="0.2">
      <c r="A220" s="505" t="str">
        <f>+'Past Quartets 1st - 3rd Place'!A220</f>
        <v>2017 P</v>
      </c>
      <c r="B220" s="505">
        <f>+'Past Quartets 1st - 3rd Place'!B220</f>
        <v>4</v>
      </c>
      <c r="C220" s="197" t="s">
        <v>1128</v>
      </c>
      <c r="D220" s="197" t="s">
        <v>1129</v>
      </c>
      <c r="E220" s="2" t="s">
        <v>1130</v>
      </c>
      <c r="F220" s="2" t="s">
        <v>1131</v>
      </c>
      <c r="G220" s="2" t="s">
        <v>1132</v>
      </c>
      <c r="H220" s="3" t="s">
        <v>1133</v>
      </c>
      <c r="I220" s="197"/>
      <c r="J220" s="197"/>
      <c r="K220" s="2"/>
      <c r="L220" s="2"/>
      <c r="M220" s="2"/>
      <c r="N220" s="3"/>
      <c r="O220" s="197"/>
      <c r="P220" s="504"/>
      <c r="Q220" s="2"/>
      <c r="R220" s="2"/>
      <c r="S220" s="2"/>
      <c r="T220" s="3"/>
    </row>
    <row r="221" spans="1:41" s="507" customFormat="1" ht="12.9" customHeight="1" x14ac:dyDescent="0.2">
      <c r="A221" s="505" t="str">
        <f>+'Past Quartets 1st - 3rd Place'!A221</f>
        <v>2018 P</v>
      </c>
      <c r="B221" s="505">
        <f>+'Past Quartets 1st - 3rd Place'!B221</f>
        <v>4</v>
      </c>
      <c r="C221" s="197" t="s">
        <v>4657</v>
      </c>
      <c r="D221" s="197" t="s">
        <v>4658</v>
      </c>
      <c r="E221" s="2" t="s">
        <v>2515</v>
      </c>
      <c r="F221" s="2" t="s">
        <v>3067</v>
      </c>
      <c r="G221" s="2" t="s">
        <v>3068</v>
      </c>
      <c r="H221" s="3" t="s">
        <v>648</v>
      </c>
      <c r="I221" s="197"/>
      <c r="J221" s="197"/>
      <c r="K221" s="2"/>
      <c r="L221" s="2"/>
      <c r="M221" s="2"/>
      <c r="N221" s="3"/>
      <c r="O221" s="197"/>
      <c r="P221" s="504"/>
      <c r="Q221" s="2"/>
      <c r="R221" s="2"/>
      <c r="S221" s="2"/>
      <c r="T221" s="3"/>
    </row>
    <row r="222" spans="1:41" s="507" customFormat="1" ht="12.9" customHeight="1" x14ac:dyDescent="0.2">
      <c r="A222" s="505" t="str">
        <f>+'Past Quartets 1st - 3rd Place'!A222</f>
        <v>2019 P</v>
      </c>
      <c r="B222" s="505">
        <f>+'Past Quartets 1st - 3rd Place'!B222</f>
        <v>7</v>
      </c>
      <c r="C222" s="197" t="s">
        <v>4651</v>
      </c>
      <c r="D222" s="504" t="s">
        <v>4653</v>
      </c>
      <c r="E222" s="2" t="s">
        <v>3979</v>
      </c>
      <c r="F222" s="2" t="s">
        <v>4654</v>
      </c>
      <c r="G222" s="2" t="s">
        <v>4655</v>
      </c>
      <c r="H222" s="3" t="s">
        <v>4656</v>
      </c>
      <c r="I222" s="197" t="s">
        <v>4383</v>
      </c>
      <c r="J222" s="197"/>
      <c r="K222" s="2" t="s">
        <v>1130</v>
      </c>
      <c r="L222" s="2" t="s">
        <v>1226</v>
      </c>
      <c r="M222" s="2" t="s">
        <v>173</v>
      </c>
      <c r="N222" s="3" t="s">
        <v>4772</v>
      </c>
      <c r="O222" s="197" t="s">
        <v>4773</v>
      </c>
      <c r="P222" s="504"/>
      <c r="Q222" s="2" t="s">
        <v>3780</v>
      </c>
      <c r="R222" s="2" t="s">
        <v>184</v>
      </c>
      <c r="S222" s="2" t="s">
        <v>4774</v>
      </c>
      <c r="T222" s="3" t="s">
        <v>4775</v>
      </c>
    </row>
    <row r="223" spans="1:41" s="507" customFormat="1" ht="12.9" customHeight="1" x14ac:dyDescent="0.2">
      <c r="A223" s="496"/>
      <c r="B223" s="496"/>
      <c r="C223" s="198"/>
      <c r="D223" s="198"/>
      <c r="E223" s="9"/>
      <c r="F223" s="4"/>
      <c r="G223" s="4"/>
      <c r="H223" s="5"/>
      <c r="I223" s="198"/>
      <c r="J223" s="198"/>
      <c r="K223" s="9"/>
      <c r="L223" s="4"/>
      <c r="M223" s="4"/>
      <c r="N223" s="5"/>
      <c r="O223" s="198"/>
      <c r="P223" s="198"/>
      <c r="Q223" s="9"/>
      <c r="R223" s="4"/>
      <c r="S223" s="4"/>
      <c r="T223" s="5"/>
    </row>
  </sheetData>
  <mergeCells count="20">
    <mergeCell ref="C96:H96"/>
    <mergeCell ref="I96:N96"/>
    <mergeCell ref="O96:T96"/>
    <mergeCell ref="A117:H117"/>
    <mergeCell ref="C118:H118"/>
    <mergeCell ref="I118:N118"/>
    <mergeCell ref="O118:T118"/>
    <mergeCell ref="C1:H1"/>
    <mergeCell ref="I1:N1"/>
    <mergeCell ref="O1:T1"/>
    <mergeCell ref="C75:H75"/>
    <mergeCell ref="I75:N75"/>
    <mergeCell ref="O75:T75"/>
    <mergeCell ref="C162:H162"/>
    <mergeCell ref="I162:N162"/>
    <mergeCell ref="O162:T162"/>
    <mergeCell ref="C192:H192"/>
    <mergeCell ref="I192:N192"/>
    <mergeCell ref="O192:T192"/>
    <mergeCell ref="A191:T191"/>
  </mergeCells>
  <phoneticPr fontId="0" type="noConversion"/>
  <printOptions horizontalCentered="1"/>
  <pageMargins left="0" right="0" top="0.39370078740157483" bottom="0" header="0" footer="0"/>
  <pageSetup paperSize="9" scale="64" fitToWidth="2" fitToHeight="3" orientation="landscape" cellComments="asDisplayed" r:id="rId1"/>
  <headerFooter alignWithMargins="0">
    <oddHeader>&amp;L&amp;"Arial Black,Bold"&amp;14BABS Quartet Placings over the years&amp;R&amp;"Arial Black,Regular"&amp;8Updated on :-  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228"/>
  <sheetViews>
    <sheetView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" defaultRowHeight="12.9" customHeight="1" x14ac:dyDescent="0.2"/>
  <cols>
    <col min="1" max="1" width="4.109375" style="1" customWidth="1"/>
    <col min="2" max="2" width="2.33203125" style="1" customWidth="1"/>
    <col min="3" max="3" width="13.6640625" style="508" customWidth="1"/>
    <col min="4" max="4" width="12" style="508" customWidth="1"/>
    <col min="5" max="5" width="10.109375" style="1" customWidth="1"/>
    <col min="6" max="6" width="10.21875" style="1" customWidth="1"/>
    <col min="7" max="7" width="10.88671875" style="1" customWidth="1"/>
    <col min="8" max="8" width="10.21875" style="1" customWidth="1"/>
    <col min="9" max="9" width="11.6640625" style="508" customWidth="1"/>
    <col min="10" max="10" width="12" style="508" customWidth="1"/>
    <col min="11" max="12" width="10.33203125" style="1" customWidth="1"/>
    <col min="13" max="14" width="9.88671875" style="1" customWidth="1"/>
    <col min="15" max="15" width="13" style="508" customWidth="1"/>
    <col min="16" max="16" width="14" style="508" customWidth="1"/>
    <col min="17" max="17" width="10.109375" style="495" customWidth="1"/>
    <col min="18" max="18" width="10.6640625" style="495" bestFit="1" customWidth="1"/>
    <col min="19" max="19" width="10.109375" style="495" customWidth="1"/>
    <col min="20" max="20" width="11" style="495" customWidth="1"/>
    <col min="21" max="21" width="12.77734375" style="508" customWidth="1"/>
    <col min="22" max="22" width="15.21875" style="508" customWidth="1"/>
    <col min="23" max="23" width="9.6640625" style="1" customWidth="1"/>
    <col min="24" max="24" width="10.21875" style="1" customWidth="1"/>
    <col min="25" max="25" width="10.44140625" style="1" customWidth="1"/>
    <col min="26" max="26" width="10.21875" style="1" customWidth="1"/>
    <col min="27" max="27" width="11.6640625" style="508" customWidth="1"/>
    <col min="28" max="28" width="14.21875" style="508" customWidth="1"/>
    <col min="29" max="29" width="10" style="1" customWidth="1"/>
    <col min="30" max="30" width="10.33203125" style="1" customWidth="1"/>
    <col min="31" max="32" width="9.88671875" style="1" customWidth="1"/>
    <col min="33" max="33" width="12.77734375" style="508" customWidth="1"/>
    <col min="34" max="34" width="15.21875" style="508" customWidth="1"/>
    <col min="35" max="35" width="10.6640625" style="495" customWidth="1"/>
    <col min="36" max="37" width="9.88671875" style="495" customWidth="1"/>
    <col min="38" max="38" width="9.44140625" style="495" customWidth="1"/>
    <col min="39" max="39" width="14.109375" style="508" customWidth="1"/>
    <col min="40" max="40" width="13.88671875" style="508" customWidth="1"/>
    <col min="41" max="41" width="10.109375" style="1" customWidth="1"/>
    <col min="42" max="42" width="10.21875" style="1" customWidth="1"/>
    <col min="43" max="43" width="10.88671875" style="1" customWidth="1"/>
    <col min="44" max="44" width="10.21875" style="1" customWidth="1"/>
    <col min="45" max="45" width="14.44140625" style="508" customWidth="1"/>
    <col min="46" max="46" width="11.44140625" style="508" customWidth="1"/>
    <col min="47" max="48" width="10.33203125" style="1" customWidth="1"/>
    <col min="49" max="50" width="9.88671875" style="1" customWidth="1"/>
    <col min="51" max="52" width="13.21875" style="508" customWidth="1"/>
    <col min="53" max="53" width="11.21875" style="495" customWidth="1"/>
    <col min="54" max="55" width="10.109375" style="495" customWidth="1"/>
    <col min="56" max="56" width="9.88671875" style="495" customWidth="1"/>
    <col min="57" max="57" width="16.33203125" style="508" customWidth="1"/>
    <col min="58" max="58" width="13.109375" style="508" customWidth="1"/>
    <col min="59" max="59" width="10.109375" style="1" customWidth="1"/>
    <col min="60" max="60" width="10.21875" style="1" customWidth="1"/>
    <col min="61" max="61" width="10.88671875" style="1" customWidth="1"/>
    <col min="62" max="62" width="10.21875" style="1" customWidth="1"/>
    <col min="63" max="63" width="12" style="508" customWidth="1"/>
    <col min="64" max="64" width="13" style="508" customWidth="1"/>
    <col min="65" max="66" width="10.33203125" style="1" customWidth="1"/>
    <col min="67" max="68" width="9.88671875" style="1" customWidth="1"/>
    <col min="69" max="69" width="12.109375" style="508" customWidth="1"/>
    <col min="70" max="70" width="15.88671875" style="508" customWidth="1"/>
    <col min="71" max="71" width="11.21875" style="495" customWidth="1"/>
    <col min="72" max="73" width="10.109375" style="495" customWidth="1"/>
    <col min="74" max="74" width="10.21875" style="495" customWidth="1"/>
    <col min="75" max="75" width="13.6640625" style="508" customWidth="1"/>
    <col min="76" max="76" width="11.44140625" style="508" customWidth="1"/>
    <col min="77" max="77" width="11.21875" style="495" customWidth="1"/>
    <col min="78" max="79" width="10.109375" style="495" customWidth="1"/>
    <col min="80" max="80" width="11.109375" style="495" customWidth="1"/>
    <col min="81" max="81" width="15.6640625" style="508" customWidth="1"/>
    <col min="82" max="82" width="12.6640625" style="508" customWidth="1"/>
    <col min="83" max="83" width="9.33203125" style="1" customWidth="1"/>
    <col min="84" max="84" width="9.21875" style="1" customWidth="1"/>
    <col min="85" max="85" width="10" style="1" customWidth="1"/>
    <col min="86" max="86" width="10.21875" style="1" customWidth="1"/>
    <col min="87" max="87" width="15.44140625" style="508" customWidth="1"/>
    <col min="88" max="88" width="13.21875" style="508" customWidth="1"/>
    <col min="89" max="90" width="10.33203125" style="1" customWidth="1"/>
    <col min="91" max="92" width="9.88671875" style="1" customWidth="1"/>
    <col min="93" max="93" width="14.44140625" style="508" customWidth="1"/>
    <col min="94" max="94" width="14.21875" style="508" customWidth="1"/>
    <col min="95" max="98" width="10.77734375" style="495" customWidth="1"/>
    <col min="99" max="99" width="13" style="508" customWidth="1"/>
    <col min="100" max="100" width="12.77734375" style="508" customWidth="1"/>
    <col min="101" max="101" width="11.21875" style="495" customWidth="1"/>
    <col min="102" max="103" width="10.109375" style="495" customWidth="1"/>
    <col min="104" max="104" width="10.21875" style="495" customWidth="1"/>
    <col min="105" max="105" width="13" style="508" customWidth="1"/>
    <col min="106" max="106" width="12.77734375" style="508" customWidth="1"/>
    <col min="107" max="107" width="11.21875" style="495" customWidth="1"/>
    <col min="108" max="109" width="10.109375" style="495" customWidth="1"/>
    <col min="110" max="110" width="10.21875" style="495" customWidth="1"/>
    <col min="111" max="111" width="13" style="508" customWidth="1"/>
    <col min="112" max="112" width="12.77734375" style="508" customWidth="1"/>
    <col min="113" max="113" width="11.21875" style="495" customWidth="1"/>
    <col min="114" max="115" width="10.109375" style="495" customWidth="1"/>
    <col min="116" max="116" width="10.21875" style="495" customWidth="1"/>
    <col min="117" max="117" width="13" style="508" customWidth="1"/>
    <col min="118" max="118" width="12.77734375" style="508" customWidth="1"/>
    <col min="119" max="119" width="11.21875" style="495" customWidth="1"/>
    <col min="120" max="121" width="10.109375" style="495" customWidth="1"/>
    <col min="122" max="122" width="10.21875" style="495" customWidth="1"/>
    <col min="123" max="123" width="11.21875" style="495" customWidth="1"/>
    <col min="124" max="124" width="11.44140625" style="495" customWidth="1"/>
    <col min="125" max="125" width="9" style="495"/>
    <col min="126" max="126" width="10.6640625" style="495" customWidth="1"/>
    <col min="127" max="127" width="9.44140625" style="495" customWidth="1"/>
    <col min="128" max="128" width="9" style="495"/>
    <col min="129" max="129" width="15.77734375" style="495" customWidth="1"/>
    <col min="130" max="130" width="13.33203125" style="495" customWidth="1"/>
    <col min="131" max="134" width="9" style="495"/>
    <col min="135" max="135" width="14.109375" style="495" customWidth="1"/>
    <col min="136" max="136" width="13" style="495" customWidth="1"/>
    <col min="137" max="137" width="9" style="495"/>
    <col min="138" max="138" width="9.6640625" style="495" customWidth="1"/>
    <col min="139" max="140" width="9" style="495"/>
    <col min="141" max="141" width="15.6640625" style="495" customWidth="1"/>
    <col min="142" max="142" width="13.44140625" style="495" customWidth="1"/>
    <col min="143" max="143" width="9.88671875" style="495" customWidth="1"/>
    <col min="144" max="144" width="10.44140625" style="495" customWidth="1"/>
    <col min="145" max="146" width="9" style="495"/>
    <col min="147" max="147" width="14.21875" style="495" customWidth="1"/>
    <col min="148" max="148" width="13.109375" style="495" customWidth="1"/>
    <col min="149" max="152" width="10.21875" style="495" customWidth="1"/>
    <col min="153" max="153" width="14.33203125" style="495" customWidth="1"/>
    <col min="154" max="154" width="13.21875" style="495" customWidth="1"/>
    <col min="155" max="158" width="11.109375" style="495" customWidth="1"/>
    <col min="159" max="159" width="12.88671875" style="495" customWidth="1"/>
    <col min="160" max="160" width="10.77734375" style="495" customWidth="1"/>
    <col min="161" max="164" width="10.6640625" style="495" customWidth="1"/>
    <col min="165" max="165" width="12.33203125" style="495" customWidth="1"/>
    <col min="166" max="166" width="14.77734375" style="495" customWidth="1"/>
    <col min="167" max="170" width="9.88671875" style="495" customWidth="1"/>
    <col min="171" max="172" width="12" style="495" customWidth="1"/>
    <col min="173" max="176" width="10.44140625" style="495" customWidth="1"/>
    <col min="177" max="177" width="9.88671875" style="495" customWidth="1"/>
    <col min="178" max="178" width="9.44140625" style="495" customWidth="1"/>
    <col min="179" max="182" width="11" style="495" customWidth="1"/>
    <col min="183" max="183" width="12.21875" style="495" customWidth="1"/>
    <col min="184" max="184" width="14.21875" style="495" customWidth="1"/>
    <col min="185" max="188" width="10.44140625" style="495" customWidth="1"/>
    <col min="189" max="189" width="11" style="495" customWidth="1"/>
    <col min="190" max="190" width="12.44140625" style="495" customWidth="1"/>
    <col min="191" max="194" width="10.6640625" style="495" customWidth="1"/>
    <col min="195" max="195" width="12.77734375" style="495" customWidth="1"/>
    <col min="196" max="196" width="11.21875" style="495" customWidth="1"/>
    <col min="197" max="200" width="10.77734375" style="495" customWidth="1"/>
    <col min="201" max="201" width="10.21875" style="495" customWidth="1"/>
    <col min="202" max="202" width="15.109375" style="495" customWidth="1"/>
    <col min="203" max="206" width="10.109375" style="495" customWidth="1"/>
    <col min="207" max="207" width="10.21875" style="495" customWidth="1"/>
    <col min="208" max="208" width="11.6640625" style="495" customWidth="1"/>
    <col min="209" max="212" width="11.109375" style="495" customWidth="1"/>
    <col min="213" max="213" width="13.77734375" style="495" customWidth="1"/>
    <col min="214" max="214" width="11" style="495" customWidth="1"/>
    <col min="215" max="218" width="10.21875" style="495" customWidth="1"/>
    <col min="219" max="219" width="12.6640625" style="495" customWidth="1"/>
    <col min="220" max="220" width="11.21875" style="495" customWidth="1"/>
    <col min="221" max="224" width="10.21875" style="495" customWidth="1"/>
    <col min="225" max="226" width="12.88671875" style="495" customWidth="1"/>
    <col min="227" max="230" width="10.33203125" style="495" customWidth="1"/>
    <col min="231" max="231" width="11.21875" style="495" customWidth="1"/>
    <col min="232" max="232" width="11.33203125" style="495" customWidth="1"/>
    <col min="233" max="236" width="11.88671875" style="495" customWidth="1"/>
    <col min="237" max="244" width="10.109375" style="495" customWidth="1"/>
    <col min="245" max="248" width="10.44140625" style="495" customWidth="1"/>
    <col min="249" max="250" width="11.77734375" style="495" customWidth="1"/>
    <col min="251" max="254" width="11.109375" style="495" customWidth="1"/>
    <col min="255" max="16384" width="9" style="495"/>
  </cols>
  <sheetData>
    <row r="1" spans="1:218" ht="12.9" customHeight="1" x14ac:dyDescent="0.2">
      <c r="A1" s="493" t="s">
        <v>2012</v>
      </c>
      <c r="B1" s="494"/>
      <c r="C1" s="675" t="s">
        <v>3129</v>
      </c>
      <c r="D1" s="676"/>
      <c r="E1" s="676"/>
      <c r="F1" s="676"/>
      <c r="G1" s="676"/>
      <c r="H1" s="677"/>
      <c r="I1" s="675" t="s">
        <v>3130</v>
      </c>
      <c r="J1" s="676"/>
      <c r="K1" s="676"/>
      <c r="L1" s="676"/>
      <c r="M1" s="676"/>
      <c r="N1" s="677"/>
      <c r="O1" s="675" t="s">
        <v>3131</v>
      </c>
      <c r="P1" s="676"/>
      <c r="Q1" s="676"/>
      <c r="R1" s="676"/>
      <c r="S1" s="676"/>
      <c r="T1" s="677"/>
      <c r="U1" s="675" t="s">
        <v>3132</v>
      </c>
      <c r="V1" s="676"/>
      <c r="W1" s="676"/>
      <c r="X1" s="676"/>
      <c r="Y1" s="676"/>
      <c r="Z1" s="677"/>
      <c r="AA1" s="675" t="s">
        <v>3133</v>
      </c>
      <c r="AB1" s="676"/>
      <c r="AC1" s="676"/>
      <c r="AD1" s="676"/>
      <c r="AE1" s="676"/>
      <c r="AF1" s="677"/>
      <c r="AG1" s="675" t="s">
        <v>3160</v>
      </c>
      <c r="AH1" s="676"/>
      <c r="AI1" s="676"/>
      <c r="AJ1" s="676"/>
      <c r="AK1" s="676"/>
      <c r="AL1" s="677"/>
      <c r="AM1" s="675" t="s">
        <v>3134</v>
      </c>
      <c r="AN1" s="676"/>
      <c r="AO1" s="676"/>
      <c r="AP1" s="676"/>
      <c r="AQ1" s="676"/>
      <c r="AR1" s="677"/>
      <c r="AS1" s="675" t="s">
        <v>3135</v>
      </c>
      <c r="AT1" s="676"/>
      <c r="AU1" s="676"/>
      <c r="AV1" s="676"/>
      <c r="AW1" s="676"/>
      <c r="AX1" s="677"/>
      <c r="AY1" s="675" t="s">
        <v>3136</v>
      </c>
      <c r="AZ1" s="676"/>
      <c r="BA1" s="676"/>
      <c r="BB1" s="676"/>
      <c r="BC1" s="676"/>
      <c r="BD1" s="677"/>
      <c r="BE1" s="675" t="s">
        <v>3137</v>
      </c>
      <c r="BF1" s="676"/>
      <c r="BG1" s="676"/>
      <c r="BH1" s="676"/>
      <c r="BI1" s="676"/>
      <c r="BJ1" s="677"/>
      <c r="BK1" s="675" t="s">
        <v>3148</v>
      </c>
      <c r="BL1" s="676"/>
      <c r="BM1" s="676"/>
      <c r="BN1" s="676"/>
      <c r="BO1" s="676"/>
      <c r="BP1" s="677"/>
      <c r="BQ1" s="675" t="s">
        <v>3149</v>
      </c>
      <c r="BR1" s="676"/>
      <c r="BS1" s="676"/>
      <c r="BT1" s="676"/>
      <c r="BU1" s="676"/>
      <c r="BV1" s="677"/>
      <c r="BW1" s="675" t="s">
        <v>3150</v>
      </c>
      <c r="BX1" s="676"/>
      <c r="BY1" s="676"/>
      <c r="BZ1" s="676"/>
      <c r="CA1" s="676"/>
      <c r="CB1" s="677"/>
      <c r="CC1" s="675" t="s">
        <v>3151</v>
      </c>
      <c r="CD1" s="676"/>
      <c r="CE1" s="676"/>
      <c r="CF1" s="676"/>
      <c r="CG1" s="676"/>
      <c r="CH1" s="677"/>
      <c r="CI1" s="675" t="s">
        <v>3173</v>
      </c>
      <c r="CJ1" s="676"/>
      <c r="CK1" s="676"/>
      <c r="CL1" s="676"/>
      <c r="CM1" s="676"/>
      <c r="CN1" s="677"/>
      <c r="CO1" s="675" t="s">
        <v>3172</v>
      </c>
      <c r="CP1" s="676"/>
      <c r="CQ1" s="676"/>
      <c r="CR1" s="676"/>
      <c r="CS1" s="676"/>
      <c r="CT1" s="677"/>
      <c r="CU1" s="669"/>
      <c r="CV1" s="669"/>
      <c r="CW1" s="669"/>
      <c r="CX1" s="669"/>
      <c r="CY1" s="669"/>
      <c r="CZ1" s="669"/>
      <c r="DA1" s="669"/>
      <c r="DB1" s="669"/>
      <c r="DC1" s="669"/>
      <c r="DD1" s="669"/>
      <c r="DE1" s="669"/>
      <c r="DF1" s="669"/>
      <c r="DG1" s="669"/>
      <c r="DH1" s="669"/>
      <c r="DI1" s="669"/>
      <c r="DJ1" s="669"/>
      <c r="DK1" s="669"/>
      <c r="DL1" s="669"/>
      <c r="DM1" s="669"/>
      <c r="DN1" s="669"/>
      <c r="DO1" s="669"/>
      <c r="DP1" s="669"/>
      <c r="DQ1" s="669"/>
      <c r="DR1" s="669"/>
      <c r="DS1" s="669"/>
      <c r="DT1" s="669"/>
      <c r="DU1" s="669"/>
      <c r="DV1" s="669"/>
      <c r="DW1" s="669"/>
      <c r="DX1" s="669"/>
      <c r="DY1" s="669"/>
      <c r="DZ1" s="669"/>
      <c r="EA1" s="669"/>
      <c r="EB1" s="669"/>
      <c r="EC1" s="669"/>
      <c r="ED1" s="669"/>
      <c r="EE1" s="669"/>
      <c r="EF1" s="669"/>
      <c r="EG1" s="669"/>
      <c r="EH1" s="669"/>
      <c r="EI1" s="669"/>
      <c r="EJ1" s="669"/>
      <c r="EK1" s="669"/>
      <c r="EL1" s="669"/>
      <c r="EM1" s="669"/>
      <c r="EN1" s="669"/>
      <c r="EO1" s="669"/>
      <c r="EP1" s="669"/>
      <c r="EQ1" s="669"/>
      <c r="ER1" s="669"/>
      <c r="ES1" s="669"/>
      <c r="ET1" s="669"/>
      <c r="EU1" s="669"/>
      <c r="EV1" s="669"/>
      <c r="EW1" s="669"/>
      <c r="EX1" s="669"/>
      <c r="EY1" s="669"/>
      <c r="EZ1" s="669"/>
      <c r="FA1" s="669"/>
      <c r="FB1" s="669"/>
      <c r="FC1" s="669"/>
      <c r="FD1" s="669"/>
      <c r="FE1" s="669"/>
      <c r="FF1" s="669"/>
      <c r="FG1" s="669"/>
      <c r="FH1" s="669"/>
      <c r="FI1" s="669"/>
      <c r="FJ1" s="669"/>
      <c r="FK1" s="669"/>
      <c r="FL1" s="669"/>
      <c r="FM1" s="669"/>
      <c r="FN1" s="669"/>
      <c r="FO1" s="669"/>
      <c r="FP1" s="669"/>
      <c r="FQ1" s="669"/>
      <c r="FR1" s="669"/>
      <c r="FS1" s="669"/>
      <c r="FT1" s="669"/>
      <c r="FU1" s="669"/>
      <c r="FV1" s="669"/>
      <c r="FW1" s="669"/>
      <c r="FX1" s="669"/>
      <c r="FY1" s="669"/>
      <c r="FZ1" s="669"/>
      <c r="GA1" s="669"/>
      <c r="GB1" s="669"/>
      <c r="GC1" s="669"/>
      <c r="GD1" s="669"/>
      <c r="GE1" s="669"/>
      <c r="GF1" s="669"/>
      <c r="GG1" s="669"/>
      <c r="GH1" s="669"/>
      <c r="GI1" s="669"/>
      <c r="GJ1" s="669"/>
      <c r="GK1" s="669"/>
      <c r="GL1" s="669"/>
      <c r="GM1" s="669"/>
      <c r="GN1" s="669"/>
      <c r="GO1" s="669"/>
      <c r="GP1" s="669"/>
      <c r="GQ1" s="669"/>
      <c r="GR1" s="669"/>
      <c r="GS1" s="669"/>
      <c r="GT1" s="669"/>
      <c r="GU1" s="669"/>
      <c r="GV1" s="669"/>
      <c r="GW1" s="669"/>
      <c r="GX1" s="669"/>
      <c r="GY1" s="669"/>
      <c r="GZ1" s="669"/>
      <c r="HA1" s="669"/>
      <c r="HB1" s="669"/>
      <c r="HC1" s="669"/>
      <c r="HD1" s="669"/>
      <c r="HE1" s="669"/>
      <c r="HF1" s="669"/>
      <c r="HG1" s="669"/>
      <c r="HH1" s="669"/>
      <c r="HI1" s="669"/>
      <c r="HJ1" s="669"/>
    </row>
    <row r="2" spans="1:218" ht="12.9" customHeight="1" x14ac:dyDescent="0.2">
      <c r="A2" s="496"/>
      <c r="B2" s="9"/>
      <c r="C2" s="497" t="s">
        <v>2016</v>
      </c>
      <c r="D2" s="498" t="s">
        <v>3376</v>
      </c>
      <c r="E2" s="4" t="s">
        <v>2017</v>
      </c>
      <c r="F2" s="4" t="s">
        <v>2018</v>
      </c>
      <c r="G2" s="4" t="s">
        <v>2019</v>
      </c>
      <c r="H2" s="5" t="s">
        <v>2020</v>
      </c>
      <c r="I2" s="497" t="s">
        <v>2016</v>
      </c>
      <c r="J2" s="498" t="s">
        <v>3376</v>
      </c>
      <c r="K2" s="4" t="s">
        <v>2017</v>
      </c>
      <c r="L2" s="4" t="s">
        <v>2018</v>
      </c>
      <c r="M2" s="4" t="s">
        <v>2019</v>
      </c>
      <c r="N2" s="5" t="s">
        <v>2020</v>
      </c>
      <c r="O2" s="497" t="s">
        <v>2016</v>
      </c>
      <c r="P2" s="498" t="s">
        <v>3376</v>
      </c>
      <c r="Q2" s="4" t="s">
        <v>2017</v>
      </c>
      <c r="R2" s="4" t="s">
        <v>2018</v>
      </c>
      <c r="S2" s="4" t="s">
        <v>2019</v>
      </c>
      <c r="T2" s="5" t="s">
        <v>2020</v>
      </c>
      <c r="U2" s="497" t="s">
        <v>2016</v>
      </c>
      <c r="V2" s="498" t="s">
        <v>3376</v>
      </c>
      <c r="W2" s="4" t="s">
        <v>2017</v>
      </c>
      <c r="X2" s="4" t="s">
        <v>2018</v>
      </c>
      <c r="Y2" s="4" t="s">
        <v>2019</v>
      </c>
      <c r="Z2" s="5" t="s">
        <v>2020</v>
      </c>
      <c r="AA2" s="497" t="s">
        <v>2016</v>
      </c>
      <c r="AB2" s="498" t="s">
        <v>3376</v>
      </c>
      <c r="AC2" s="4" t="s">
        <v>2017</v>
      </c>
      <c r="AD2" s="4" t="s">
        <v>2018</v>
      </c>
      <c r="AE2" s="4" t="s">
        <v>2019</v>
      </c>
      <c r="AF2" s="5" t="s">
        <v>2020</v>
      </c>
      <c r="AG2" s="497" t="s">
        <v>2016</v>
      </c>
      <c r="AH2" s="498" t="s">
        <v>3376</v>
      </c>
      <c r="AI2" s="4" t="s">
        <v>2017</v>
      </c>
      <c r="AJ2" s="4" t="s">
        <v>2018</v>
      </c>
      <c r="AK2" s="4" t="s">
        <v>2019</v>
      </c>
      <c r="AL2" s="5" t="s">
        <v>2020</v>
      </c>
      <c r="AM2" s="497" t="s">
        <v>2016</v>
      </c>
      <c r="AN2" s="498" t="s">
        <v>3376</v>
      </c>
      <c r="AO2" s="4" t="s">
        <v>2017</v>
      </c>
      <c r="AP2" s="4" t="s">
        <v>2018</v>
      </c>
      <c r="AQ2" s="4" t="s">
        <v>2019</v>
      </c>
      <c r="AR2" s="5" t="s">
        <v>2020</v>
      </c>
      <c r="AS2" s="497" t="s">
        <v>2016</v>
      </c>
      <c r="AT2" s="498" t="s">
        <v>3376</v>
      </c>
      <c r="AU2" s="4" t="s">
        <v>2017</v>
      </c>
      <c r="AV2" s="4" t="s">
        <v>2018</v>
      </c>
      <c r="AW2" s="4" t="s">
        <v>2019</v>
      </c>
      <c r="AX2" s="5" t="s">
        <v>2020</v>
      </c>
      <c r="AY2" s="497" t="s">
        <v>2016</v>
      </c>
      <c r="AZ2" s="498" t="s">
        <v>3376</v>
      </c>
      <c r="BA2" s="4" t="s">
        <v>2017</v>
      </c>
      <c r="BB2" s="4" t="s">
        <v>2018</v>
      </c>
      <c r="BC2" s="4" t="s">
        <v>2019</v>
      </c>
      <c r="BD2" s="5" t="s">
        <v>2020</v>
      </c>
      <c r="BE2" s="497" t="s">
        <v>2016</v>
      </c>
      <c r="BF2" s="498" t="s">
        <v>3376</v>
      </c>
      <c r="BG2" s="4" t="s">
        <v>2017</v>
      </c>
      <c r="BH2" s="4" t="s">
        <v>2018</v>
      </c>
      <c r="BI2" s="4" t="s">
        <v>2019</v>
      </c>
      <c r="BJ2" s="5" t="s">
        <v>2020</v>
      </c>
      <c r="BK2" s="497" t="s">
        <v>2016</v>
      </c>
      <c r="BL2" s="498" t="s">
        <v>3376</v>
      </c>
      <c r="BM2" s="4" t="s">
        <v>2017</v>
      </c>
      <c r="BN2" s="4" t="s">
        <v>2018</v>
      </c>
      <c r="BO2" s="4" t="s">
        <v>2019</v>
      </c>
      <c r="BP2" s="5" t="s">
        <v>2020</v>
      </c>
      <c r="BQ2" s="497" t="s">
        <v>2016</v>
      </c>
      <c r="BR2" s="498" t="s">
        <v>3376</v>
      </c>
      <c r="BS2" s="4" t="s">
        <v>2017</v>
      </c>
      <c r="BT2" s="4" t="s">
        <v>2018</v>
      </c>
      <c r="BU2" s="4" t="s">
        <v>2019</v>
      </c>
      <c r="BV2" s="5" t="s">
        <v>2020</v>
      </c>
      <c r="BW2" s="497" t="s">
        <v>2016</v>
      </c>
      <c r="BX2" s="498" t="s">
        <v>3376</v>
      </c>
      <c r="BY2" s="4" t="s">
        <v>2017</v>
      </c>
      <c r="BZ2" s="4" t="s">
        <v>2018</v>
      </c>
      <c r="CA2" s="4" t="s">
        <v>2019</v>
      </c>
      <c r="CB2" s="5" t="s">
        <v>2020</v>
      </c>
      <c r="CC2" s="497" t="s">
        <v>2016</v>
      </c>
      <c r="CD2" s="498" t="s">
        <v>3376</v>
      </c>
      <c r="CE2" s="4" t="s">
        <v>2017</v>
      </c>
      <c r="CF2" s="4" t="s">
        <v>2018</v>
      </c>
      <c r="CG2" s="4" t="s">
        <v>2019</v>
      </c>
      <c r="CH2" s="5" t="s">
        <v>2020</v>
      </c>
      <c r="CI2" s="497" t="s">
        <v>2016</v>
      </c>
      <c r="CJ2" s="498" t="s">
        <v>3376</v>
      </c>
      <c r="CK2" s="4" t="s">
        <v>2017</v>
      </c>
      <c r="CL2" s="4" t="s">
        <v>2018</v>
      </c>
      <c r="CM2" s="4" t="s">
        <v>2019</v>
      </c>
      <c r="CN2" s="5" t="s">
        <v>2020</v>
      </c>
      <c r="CO2" s="497" t="s">
        <v>2016</v>
      </c>
      <c r="CP2" s="498" t="s">
        <v>3376</v>
      </c>
      <c r="CQ2" s="4" t="s">
        <v>2017</v>
      </c>
      <c r="CR2" s="4" t="s">
        <v>2018</v>
      </c>
      <c r="CS2" s="4" t="s">
        <v>2019</v>
      </c>
      <c r="CT2" s="5" t="s">
        <v>2020</v>
      </c>
      <c r="CU2" s="280"/>
      <c r="CV2" s="280"/>
      <c r="CW2" s="2"/>
      <c r="CX2" s="2"/>
      <c r="CY2" s="2"/>
      <c r="CZ2" s="2"/>
      <c r="DA2" s="280"/>
      <c r="DB2" s="280"/>
      <c r="DC2" s="2"/>
      <c r="DD2" s="2"/>
      <c r="DE2" s="2"/>
      <c r="DF2" s="2"/>
      <c r="DG2" s="280"/>
      <c r="DH2" s="280"/>
      <c r="DI2" s="2"/>
      <c r="DJ2" s="2"/>
      <c r="DK2" s="2"/>
      <c r="DL2" s="2"/>
      <c r="DM2" s="280"/>
      <c r="DN2" s="280"/>
      <c r="DO2" s="2"/>
      <c r="DP2" s="2"/>
      <c r="DQ2" s="2"/>
      <c r="DR2" s="2"/>
      <c r="DS2" s="280"/>
      <c r="DT2" s="280"/>
      <c r="DU2" s="2"/>
      <c r="DV2" s="2"/>
      <c r="DW2" s="2"/>
      <c r="DX2" s="2"/>
      <c r="DY2" s="280"/>
      <c r="DZ2" s="280"/>
      <c r="EA2" s="2"/>
      <c r="EB2" s="2"/>
      <c r="EC2" s="2"/>
      <c r="ED2" s="2"/>
      <c r="EE2" s="280"/>
      <c r="EF2" s="280"/>
      <c r="EG2" s="2"/>
      <c r="EH2" s="2"/>
      <c r="EI2" s="2"/>
      <c r="EJ2" s="2"/>
      <c r="EK2" s="280"/>
      <c r="EL2" s="280"/>
      <c r="EM2" s="2"/>
      <c r="EN2" s="2"/>
      <c r="EO2" s="2"/>
      <c r="EP2" s="2"/>
      <c r="EQ2" s="280"/>
      <c r="ER2" s="280"/>
      <c r="ES2" s="2"/>
      <c r="ET2" s="2"/>
      <c r="EU2" s="2"/>
      <c r="EV2" s="2"/>
      <c r="EW2" s="280"/>
      <c r="EX2" s="280"/>
      <c r="EY2" s="2"/>
      <c r="EZ2" s="2"/>
      <c r="FA2" s="2"/>
      <c r="FB2" s="2"/>
      <c r="FC2" s="280"/>
      <c r="FD2" s="280"/>
      <c r="FE2" s="2"/>
      <c r="FF2" s="2"/>
      <c r="FG2" s="2"/>
      <c r="FH2" s="2"/>
      <c r="FI2" s="280"/>
      <c r="FJ2" s="280"/>
      <c r="FK2" s="2"/>
      <c r="FL2" s="2"/>
      <c r="FM2" s="2"/>
      <c r="FN2" s="2"/>
      <c r="FO2" s="280"/>
      <c r="FP2" s="280"/>
      <c r="FQ2" s="2"/>
      <c r="FR2" s="2"/>
      <c r="FS2" s="2"/>
      <c r="FT2" s="2"/>
      <c r="FU2" s="280"/>
      <c r="FV2" s="280"/>
      <c r="FW2" s="2"/>
      <c r="FX2" s="2"/>
      <c r="FY2" s="2"/>
      <c r="FZ2" s="2"/>
      <c r="GA2" s="280"/>
      <c r="GB2" s="280"/>
      <c r="GC2" s="2"/>
      <c r="GD2" s="2"/>
      <c r="GE2" s="2"/>
      <c r="GF2" s="2"/>
      <c r="GG2" s="280"/>
      <c r="GH2" s="280"/>
      <c r="GI2" s="2"/>
      <c r="GJ2" s="2"/>
      <c r="GK2" s="2"/>
      <c r="GL2" s="2"/>
      <c r="GM2" s="280"/>
      <c r="GN2" s="280"/>
      <c r="GO2" s="2"/>
      <c r="GP2" s="2"/>
      <c r="GQ2" s="2"/>
      <c r="GR2" s="2"/>
      <c r="GS2" s="280"/>
      <c r="GT2" s="280"/>
      <c r="GU2" s="2"/>
      <c r="GV2" s="2"/>
      <c r="GW2" s="2"/>
      <c r="GX2" s="2"/>
      <c r="GY2" s="280"/>
      <c r="GZ2" s="280"/>
      <c r="HA2" s="2"/>
      <c r="HB2" s="2"/>
      <c r="HC2" s="2"/>
      <c r="HD2" s="2"/>
      <c r="HE2" s="280"/>
      <c r="HF2" s="280"/>
      <c r="HG2" s="2"/>
      <c r="HH2" s="2"/>
      <c r="HI2" s="2"/>
      <c r="HJ2" s="2"/>
    </row>
    <row r="3" spans="1:218" ht="12.9" customHeight="1" x14ac:dyDescent="0.2">
      <c r="A3" s="10" t="str">
        <f>+'Past Quartets 1st - 3rd Place'!A3</f>
        <v>1974</v>
      </c>
      <c r="B3" s="610">
        <f>+'Past Quartets 1st - 3rd Place'!B3</f>
        <v>14</v>
      </c>
      <c r="C3" s="504" t="s">
        <v>724</v>
      </c>
      <c r="D3" s="197" t="s">
        <v>2035</v>
      </c>
      <c r="E3" s="1" t="s">
        <v>725</v>
      </c>
      <c r="F3" s="1" t="s">
        <v>726</v>
      </c>
      <c r="G3" s="1" t="s">
        <v>728</v>
      </c>
      <c r="H3" s="3" t="s">
        <v>727</v>
      </c>
      <c r="I3" s="405" t="s">
        <v>3386</v>
      </c>
      <c r="J3" s="197" t="s">
        <v>2029</v>
      </c>
      <c r="K3" s="2" t="s">
        <v>3387</v>
      </c>
      <c r="L3" s="2" t="s">
        <v>1278</v>
      </c>
      <c r="M3" s="2" t="s">
        <v>1279</v>
      </c>
      <c r="N3" s="3" t="s">
        <v>1280</v>
      </c>
      <c r="O3" s="405" t="s">
        <v>3138</v>
      </c>
      <c r="P3" s="499" t="s">
        <v>579</v>
      </c>
      <c r="Q3" s="1" t="s">
        <v>3219</v>
      </c>
      <c r="R3" s="1" t="s">
        <v>715</v>
      </c>
      <c r="S3" s="1" t="s">
        <v>1440</v>
      </c>
      <c r="T3" s="404" t="s">
        <v>297</v>
      </c>
      <c r="U3" s="499" t="s">
        <v>3140</v>
      </c>
      <c r="V3" s="197" t="s">
        <v>2029</v>
      </c>
      <c r="W3" s="1" t="s">
        <v>597</v>
      </c>
      <c r="X3" s="1" t="s">
        <v>182</v>
      </c>
      <c r="Y3" s="1" t="s">
        <v>513</v>
      </c>
      <c r="Z3" s="1" t="s">
        <v>514</v>
      </c>
      <c r="AA3" s="197" t="s">
        <v>3139</v>
      </c>
      <c r="AB3" s="197" t="s">
        <v>2035</v>
      </c>
      <c r="AC3" s="419" t="s">
        <v>573</v>
      </c>
      <c r="AD3" s="419" t="s">
        <v>710</v>
      </c>
      <c r="AE3" s="419" t="s">
        <v>208</v>
      </c>
      <c r="AF3" s="419" t="s">
        <v>2489</v>
      </c>
      <c r="AG3" s="405" t="s">
        <v>3141</v>
      </c>
      <c r="AH3" s="499" t="s">
        <v>2035</v>
      </c>
      <c r="AI3" s="419" t="s">
        <v>3629</v>
      </c>
      <c r="AJ3" s="419" t="s">
        <v>1723</v>
      </c>
      <c r="AK3" s="419" t="s">
        <v>1724</v>
      </c>
      <c r="AL3" s="525" t="s">
        <v>1725</v>
      </c>
      <c r="AM3" s="499" t="s">
        <v>3142</v>
      </c>
      <c r="AN3" s="197" t="s">
        <v>579</v>
      </c>
      <c r="AO3" s="1" t="s">
        <v>585</v>
      </c>
      <c r="AP3" s="1" t="s">
        <v>715</v>
      </c>
      <c r="AQ3" s="1" t="s">
        <v>1440</v>
      </c>
      <c r="AR3" s="3" t="s">
        <v>702</v>
      </c>
      <c r="AS3" s="405"/>
      <c r="AT3" s="197"/>
      <c r="AY3" s="405"/>
      <c r="AZ3" s="499"/>
      <c r="BA3" s="2"/>
      <c r="BB3" s="2"/>
      <c r="BC3" s="2"/>
      <c r="BD3" s="404"/>
      <c r="BE3" s="197"/>
      <c r="BF3" s="197"/>
      <c r="BJ3" s="3"/>
      <c r="BK3" s="405"/>
      <c r="BL3" s="197"/>
      <c r="BQ3" s="405"/>
      <c r="BR3" s="499"/>
      <c r="BS3" s="2"/>
      <c r="BT3" s="2"/>
      <c r="BU3" s="2"/>
      <c r="BV3" s="404"/>
      <c r="BW3" s="499"/>
      <c r="BX3" s="499"/>
      <c r="BY3" s="2"/>
      <c r="BZ3" s="2"/>
      <c r="CA3" s="2"/>
      <c r="CB3" s="3"/>
      <c r="CC3" s="197"/>
      <c r="CD3" s="197"/>
      <c r="CH3" s="3"/>
      <c r="CI3" s="405"/>
      <c r="CJ3" s="197"/>
      <c r="CN3" s="404"/>
      <c r="CO3" s="405"/>
      <c r="CP3" s="499"/>
      <c r="CQ3" s="2"/>
      <c r="CR3" s="2"/>
      <c r="CS3" s="2"/>
      <c r="CT3" s="3"/>
      <c r="CU3" s="280"/>
      <c r="CV3" s="280"/>
      <c r="CW3" s="2"/>
      <c r="CX3" s="2"/>
      <c r="CY3" s="2"/>
      <c r="CZ3" s="2"/>
      <c r="DA3" s="280"/>
      <c r="DB3" s="280"/>
      <c r="DC3" s="2"/>
      <c r="DD3" s="2"/>
      <c r="DE3" s="2"/>
      <c r="DF3" s="2"/>
      <c r="DG3" s="280"/>
      <c r="DH3" s="280"/>
      <c r="DI3" s="2"/>
      <c r="DJ3" s="2"/>
      <c r="DK3" s="2"/>
      <c r="DL3" s="2"/>
      <c r="DM3" s="280"/>
      <c r="DN3" s="280"/>
      <c r="DO3" s="2"/>
      <c r="DP3" s="2"/>
      <c r="DQ3" s="2"/>
      <c r="DR3" s="2"/>
      <c r="DS3" s="280"/>
      <c r="DT3" s="280"/>
      <c r="DU3" s="2"/>
      <c r="DV3" s="2"/>
      <c r="DW3" s="2"/>
      <c r="DX3" s="2"/>
      <c r="DY3" s="280"/>
      <c r="DZ3" s="280"/>
      <c r="EA3" s="2"/>
      <c r="EB3" s="2"/>
      <c r="EC3" s="2"/>
      <c r="ED3" s="2"/>
      <c r="EE3" s="280"/>
      <c r="EF3" s="280"/>
      <c r="EG3" s="2"/>
      <c r="EH3" s="2"/>
      <c r="EI3" s="2"/>
      <c r="EJ3" s="2"/>
      <c r="EK3" s="280"/>
      <c r="EL3" s="280"/>
      <c r="EM3" s="2"/>
      <c r="EN3" s="2"/>
      <c r="EO3" s="2"/>
      <c r="EP3" s="2"/>
      <c r="EQ3" s="280"/>
      <c r="ER3" s="280"/>
      <c r="ES3" s="2"/>
      <c r="ET3" s="2"/>
      <c r="EU3" s="2"/>
      <c r="EV3" s="2"/>
      <c r="EW3" s="280"/>
      <c r="EX3" s="280"/>
      <c r="EY3" s="2"/>
      <c r="EZ3" s="2"/>
      <c r="FA3" s="2"/>
      <c r="FB3" s="2"/>
      <c r="FC3" s="280"/>
      <c r="FD3" s="280"/>
      <c r="FE3" s="2"/>
      <c r="FF3" s="2"/>
      <c r="FG3" s="2"/>
      <c r="FH3" s="2"/>
      <c r="FI3" s="280"/>
      <c r="FJ3" s="280"/>
      <c r="FK3" s="2"/>
      <c r="FL3" s="2"/>
      <c r="FM3" s="2"/>
      <c r="FN3" s="2"/>
      <c r="FO3" s="280"/>
      <c r="FP3" s="280"/>
      <c r="FQ3" s="2"/>
      <c r="FR3" s="2"/>
      <c r="FS3" s="2"/>
      <c r="FT3" s="2"/>
      <c r="FU3" s="280"/>
      <c r="FV3" s="280"/>
      <c r="FW3" s="2"/>
      <c r="FX3" s="2"/>
      <c r="FY3" s="2"/>
      <c r="FZ3" s="2"/>
      <c r="GA3" s="280"/>
      <c r="GB3" s="280"/>
      <c r="GC3" s="2"/>
      <c r="GD3" s="2"/>
      <c r="GE3" s="2"/>
      <c r="GF3" s="2"/>
      <c r="GG3" s="280"/>
      <c r="GH3" s="280"/>
      <c r="GI3" s="2"/>
      <c r="GJ3" s="2"/>
      <c r="GK3" s="2"/>
      <c r="GL3" s="2"/>
      <c r="GM3" s="280"/>
      <c r="GN3" s="280"/>
      <c r="GO3" s="2"/>
      <c r="GP3" s="2"/>
      <c r="GQ3" s="2"/>
      <c r="GR3" s="2"/>
      <c r="GS3" s="280"/>
      <c r="GT3" s="280"/>
      <c r="GU3" s="2"/>
      <c r="GV3" s="2"/>
      <c r="GW3" s="2"/>
      <c r="GX3" s="2"/>
      <c r="GY3" s="280"/>
      <c r="GZ3" s="280"/>
      <c r="HA3" s="2"/>
      <c r="HB3" s="2"/>
      <c r="HC3" s="2"/>
      <c r="HD3" s="2"/>
      <c r="HE3" s="280"/>
      <c r="HF3" s="280"/>
      <c r="HG3" s="2"/>
      <c r="HH3" s="2"/>
      <c r="HI3" s="2"/>
      <c r="HJ3" s="2"/>
    </row>
    <row r="4" spans="1:218" ht="12.9" customHeight="1" x14ac:dyDescent="0.2">
      <c r="A4" s="10" t="str">
        <f>+'Past Quartets 1st - 3rd Place'!A4</f>
        <v>1975</v>
      </c>
      <c r="B4" s="503">
        <f>+'Past Quartets 1st - 3rd Place'!B4</f>
        <v>22</v>
      </c>
      <c r="C4" s="504" t="s">
        <v>724</v>
      </c>
      <c r="D4" s="197" t="s">
        <v>2035</v>
      </c>
      <c r="E4" s="1" t="s">
        <v>725</v>
      </c>
      <c r="F4" s="1" t="s">
        <v>726</v>
      </c>
      <c r="G4" s="1" t="s">
        <v>728</v>
      </c>
      <c r="H4" s="3" t="s">
        <v>727</v>
      </c>
      <c r="I4" s="405" t="s">
        <v>713</v>
      </c>
      <c r="J4" s="197" t="s">
        <v>579</v>
      </c>
      <c r="K4" s="1" t="s">
        <v>3387</v>
      </c>
      <c r="L4" s="1" t="s">
        <v>715</v>
      </c>
      <c r="M4" s="1" t="s">
        <v>3219</v>
      </c>
      <c r="N4" s="1" t="s">
        <v>2707</v>
      </c>
      <c r="O4" s="405" t="s">
        <v>708</v>
      </c>
      <c r="P4" s="197" t="s">
        <v>2029</v>
      </c>
      <c r="Q4" s="2" t="s">
        <v>2030</v>
      </c>
      <c r="R4" s="2" t="s">
        <v>2031</v>
      </c>
      <c r="S4" s="2" t="s">
        <v>419</v>
      </c>
      <c r="T4" s="3" t="s">
        <v>2033</v>
      </c>
      <c r="U4" s="197" t="s">
        <v>846</v>
      </c>
      <c r="V4" s="197" t="s">
        <v>847</v>
      </c>
      <c r="W4" s="2" t="s">
        <v>3195</v>
      </c>
      <c r="X4" s="2" t="s">
        <v>3196</v>
      </c>
      <c r="Y4" s="2" t="s">
        <v>3197</v>
      </c>
      <c r="Z4" s="2" t="s">
        <v>3198</v>
      </c>
      <c r="AA4" s="405" t="s">
        <v>3098</v>
      </c>
      <c r="AB4" s="197" t="s">
        <v>3526</v>
      </c>
      <c r="AC4" s="1" t="s">
        <v>3712</v>
      </c>
      <c r="AD4" s="1" t="s">
        <v>3713</v>
      </c>
      <c r="AE4" s="1" t="s">
        <v>561</v>
      </c>
      <c r="AF4" s="1" t="s">
        <v>3714</v>
      </c>
      <c r="AG4" s="578" t="s">
        <v>3143</v>
      </c>
      <c r="AH4" s="197"/>
      <c r="AI4" s="2"/>
      <c r="AJ4" s="2"/>
      <c r="AK4" s="2"/>
      <c r="AL4" s="3"/>
      <c r="AM4" s="197" t="s">
        <v>3144</v>
      </c>
      <c r="AN4" s="197" t="s">
        <v>517</v>
      </c>
      <c r="AO4" s="2"/>
      <c r="AP4" s="2"/>
      <c r="AQ4" s="2"/>
      <c r="AR4" s="3"/>
      <c r="AS4" s="405" t="s">
        <v>3145</v>
      </c>
      <c r="AT4" s="197" t="s">
        <v>703</v>
      </c>
      <c r="AU4" s="2" t="s">
        <v>691</v>
      </c>
      <c r="AV4" s="2" t="s">
        <v>3700</v>
      </c>
      <c r="AW4" s="2" t="s">
        <v>3701</v>
      </c>
      <c r="AX4" s="3" t="s">
        <v>3702</v>
      </c>
      <c r="AY4" s="405" t="s">
        <v>3146</v>
      </c>
      <c r="AZ4" s="197" t="s">
        <v>2035</v>
      </c>
      <c r="BA4" s="419" t="s">
        <v>1529</v>
      </c>
      <c r="BB4" s="419" t="s">
        <v>3922</v>
      </c>
      <c r="BC4" s="419" t="s">
        <v>2488</v>
      </c>
      <c r="BD4" s="479" t="s">
        <v>1238</v>
      </c>
      <c r="BE4" s="197" t="s">
        <v>3147</v>
      </c>
      <c r="BF4" s="197" t="s">
        <v>4249</v>
      </c>
      <c r="BG4" s="419" t="s">
        <v>1276</v>
      </c>
      <c r="BH4" s="419" t="s">
        <v>1712</v>
      </c>
      <c r="BI4" s="419" t="s">
        <v>1713</v>
      </c>
      <c r="BJ4" s="419" t="s">
        <v>2939</v>
      </c>
      <c r="BK4" s="245" t="s">
        <v>3529</v>
      </c>
      <c r="BL4" s="245" t="s">
        <v>2041</v>
      </c>
      <c r="BM4" s="2" t="s">
        <v>3535</v>
      </c>
      <c r="BN4" s="2" t="s">
        <v>3536</v>
      </c>
      <c r="BO4" s="2" t="s">
        <v>3194</v>
      </c>
      <c r="BP4" s="3" t="s">
        <v>3538</v>
      </c>
      <c r="BQ4" s="405" t="s">
        <v>3154</v>
      </c>
      <c r="BR4" s="468" t="s">
        <v>517</v>
      </c>
      <c r="BS4" s="419" t="s">
        <v>1744</v>
      </c>
      <c r="BT4" s="419" t="s">
        <v>1745</v>
      </c>
      <c r="BU4" s="419" t="s">
        <v>1697</v>
      </c>
      <c r="BV4" s="479" t="s">
        <v>3248</v>
      </c>
      <c r="BW4" s="197" t="s">
        <v>3034</v>
      </c>
      <c r="BX4" s="197" t="s">
        <v>3533</v>
      </c>
      <c r="BY4" s="419" t="s">
        <v>3035</v>
      </c>
      <c r="BZ4" s="419" t="s">
        <v>3036</v>
      </c>
      <c r="CA4" s="419" t="s">
        <v>3037</v>
      </c>
      <c r="CB4" s="419" t="s">
        <v>3038</v>
      </c>
      <c r="CC4" s="197" t="s">
        <v>729</v>
      </c>
      <c r="CD4" s="197" t="s">
        <v>730</v>
      </c>
      <c r="CE4" s="1" t="s">
        <v>1747</v>
      </c>
      <c r="CF4" s="1" t="s">
        <v>731</v>
      </c>
      <c r="CG4" s="1" t="s">
        <v>298</v>
      </c>
      <c r="CH4" s="1" t="s">
        <v>687</v>
      </c>
      <c r="CI4" s="405" t="s">
        <v>3152</v>
      </c>
      <c r="CJ4" s="197" t="s">
        <v>4249</v>
      </c>
      <c r="CK4" s="420" t="s">
        <v>1276</v>
      </c>
      <c r="CL4" s="420" t="s">
        <v>518</v>
      </c>
      <c r="CM4" s="420" t="s">
        <v>1713</v>
      </c>
      <c r="CN4" s="579" t="s">
        <v>3543</v>
      </c>
      <c r="CO4" s="405" t="s">
        <v>1950</v>
      </c>
      <c r="CP4" s="468" t="s">
        <v>4249</v>
      </c>
      <c r="CQ4" s="534" t="s">
        <v>1700</v>
      </c>
      <c r="CR4" s="534" t="s">
        <v>1701</v>
      </c>
      <c r="CS4" s="534" t="s">
        <v>1702</v>
      </c>
      <c r="CT4" s="479" t="s">
        <v>1703</v>
      </c>
      <c r="CU4" s="280"/>
      <c r="CV4" s="280"/>
      <c r="CW4" s="2"/>
      <c r="CX4" s="2"/>
      <c r="CY4" s="2"/>
      <c r="CZ4" s="2"/>
      <c r="DA4" s="280"/>
      <c r="DB4" s="280"/>
      <c r="DC4" s="2"/>
      <c r="DD4" s="2"/>
      <c r="DE4" s="2"/>
      <c r="DF4" s="2"/>
      <c r="DG4" s="280"/>
      <c r="DH4" s="280"/>
      <c r="DI4" s="2"/>
      <c r="DJ4" s="2"/>
      <c r="DK4" s="2"/>
      <c r="DL4" s="2"/>
      <c r="DM4" s="280"/>
      <c r="DN4" s="280"/>
      <c r="DO4" s="2"/>
      <c r="DP4" s="2"/>
      <c r="DQ4" s="2"/>
      <c r="DR4" s="2"/>
      <c r="DS4" s="280"/>
      <c r="DT4" s="280"/>
      <c r="DU4" s="2"/>
      <c r="DV4" s="2"/>
      <c r="DW4" s="2"/>
      <c r="DX4" s="2"/>
      <c r="DY4" s="280"/>
      <c r="DZ4" s="280"/>
      <c r="EA4" s="2"/>
      <c r="EB4" s="2"/>
      <c r="EC4" s="2"/>
      <c r="ED4" s="2"/>
      <c r="EE4" s="280"/>
      <c r="EF4" s="280"/>
      <c r="EG4" s="2"/>
      <c r="EH4" s="2"/>
      <c r="EI4" s="2"/>
      <c r="EJ4" s="2"/>
      <c r="EK4" s="280"/>
      <c r="EL4" s="280"/>
      <c r="EM4" s="2"/>
      <c r="EN4" s="2"/>
      <c r="EO4" s="2"/>
      <c r="EP4" s="2"/>
      <c r="EQ4" s="280"/>
      <c r="ER4" s="280"/>
      <c r="ES4" s="2"/>
      <c r="ET4" s="2"/>
      <c r="EU4" s="2"/>
      <c r="EV4" s="2"/>
      <c r="EW4" s="280"/>
      <c r="EX4" s="280"/>
      <c r="EY4" s="2"/>
      <c r="EZ4" s="2"/>
      <c r="FA4" s="2"/>
      <c r="FB4" s="2"/>
      <c r="FC4" s="280"/>
      <c r="FD4" s="280"/>
      <c r="FE4" s="2"/>
      <c r="FF4" s="2"/>
      <c r="FG4" s="2"/>
      <c r="FH4" s="2"/>
      <c r="FI4" s="280"/>
      <c r="FJ4" s="280"/>
      <c r="FK4" s="2"/>
      <c r="FL4" s="2"/>
      <c r="FM4" s="2"/>
      <c r="FN4" s="2"/>
      <c r="FO4" s="280"/>
      <c r="FP4" s="280"/>
      <c r="FQ4" s="2"/>
      <c r="FR4" s="2"/>
      <c r="FS4" s="2"/>
      <c r="FT4" s="2"/>
      <c r="FU4" s="280"/>
      <c r="FV4" s="280"/>
      <c r="FW4" s="2"/>
      <c r="FX4" s="2"/>
      <c r="FY4" s="2"/>
      <c r="FZ4" s="2"/>
      <c r="GA4" s="280"/>
      <c r="GB4" s="280"/>
      <c r="GC4" s="2"/>
      <c r="GD4" s="2"/>
      <c r="GE4" s="2"/>
      <c r="GF4" s="2"/>
      <c r="GG4" s="280"/>
      <c r="GH4" s="280"/>
      <c r="GI4" s="2"/>
      <c r="GJ4" s="2"/>
      <c r="GK4" s="2"/>
      <c r="GL4" s="2"/>
      <c r="GM4" s="280"/>
      <c r="GN4" s="280"/>
      <c r="GO4" s="2"/>
      <c r="GP4" s="2"/>
      <c r="GQ4" s="2"/>
      <c r="GR4" s="2"/>
      <c r="GS4" s="280"/>
      <c r="GT4" s="280"/>
      <c r="GU4" s="2"/>
      <c r="GV4" s="2"/>
      <c r="GW4" s="2"/>
      <c r="GX4" s="2"/>
      <c r="GY4" s="280"/>
      <c r="GZ4" s="280"/>
      <c r="HA4" s="2"/>
      <c r="HB4" s="2"/>
      <c r="HC4" s="2"/>
      <c r="HD4" s="2"/>
      <c r="HE4" s="280"/>
      <c r="HF4" s="280"/>
      <c r="HG4" s="2"/>
      <c r="HH4" s="2"/>
      <c r="HI4" s="2"/>
      <c r="HJ4" s="2"/>
    </row>
    <row r="5" spans="1:218" ht="12.9" customHeight="1" x14ac:dyDescent="0.2">
      <c r="A5" s="10" t="str">
        <f>+'Past Quartets 1st - 3rd Place'!A5</f>
        <v>1976</v>
      </c>
      <c r="B5" s="503">
        <f>+'Past Quartets 1st - 3rd Place'!B5</f>
        <v>30</v>
      </c>
      <c r="C5" s="504" t="s">
        <v>3386</v>
      </c>
      <c r="D5" s="197" t="s">
        <v>2272</v>
      </c>
      <c r="E5" s="2" t="s">
        <v>3387</v>
      </c>
      <c r="F5" s="2" t="s">
        <v>1278</v>
      </c>
      <c r="G5" s="2" t="s">
        <v>1279</v>
      </c>
      <c r="H5" s="3" t="s">
        <v>1280</v>
      </c>
      <c r="I5" s="405" t="s">
        <v>3382</v>
      </c>
      <c r="J5" s="197" t="s">
        <v>3533</v>
      </c>
      <c r="K5" s="1" t="s">
        <v>3703</v>
      </c>
      <c r="L5" s="1" t="s">
        <v>4025</v>
      </c>
      <c r="M5" s="1" t="s">
        <v>270</v>
      </c>
      <c r="N5" s="1" t="s">
        <v>3704</v>
      </c>
      <c r="O5" s="245" t="s">
        <v>3529</v>
      </c>
      <c r="P5" s="245" t="s">
        <v>2041</v>
      </c>
      <c r="Q5" s="2" t="s">
        <v>3535</v>
      </c>
      <c r="R5" s="2" t="s">
        <v>3536</v>
      </c>
      <c r="S5" s="2" t="s">
        <v>3194</v>
      </c>
      <c r="T5" s="3" t="s">
        <v>3538</v>
      </c>
      <c r="U5" s="197" t="s">
        <v>708</v>
      </c>
      <c r="V5" s="197" t="s">
        <v>2029</v>
      </c>
      <c r="W5" s="2" t="s">
        <v>2030</v>
      </c>
      <c r="X5" s="2" t="s">
        <v>2031</v>
      </c>
      <c r="Y5" s="2" t="s">
        <v>419</v>
      </c>
      <c r="Z5" s="2" t="s">
        <v>2033</v>
      </c>
      <c r="AA5" s="405" t="s">
        <v>713</v>
      </c>
      <c r="AB5" s="197" t="s">
        <v>579</v>
      </c>
      <c r="AC5" s="1" t="s">
        <v>714</v>
      </c>
      <c r="AD5" s="1" t="s">
        <v>715</v>
      </c>
      <c r="AE5" s="1" t="s">
        <v>3219</v>
      </c>
      <c r="AF5" s="1" t="s">
        <v>2707</v>
      </c>
      <c r="AG5" s="405" t="s">
        <v>3539</v>
      </c>
      <c r="AH5" s="197" t="s">
        <v>2035</v>
      </c>
      <c r="AI5" s="2" t="s">
        <v>711</v>
      </c>
      <c r="AJ5" s="2" t="s">
        <v>710</v>
      </c>
      <c r="AK5" s="2" t="s">
        <v>709</v>
      </c>
      <c r="AL5" s="3" t="s">
        <v>712</v>
      </c>
      <c r="AM5" s="197"/>
      <c r="AN5" s="197"/>
      <c r="AO5" s="2"/>
      <c r="AP5" s="2"/>
      <c r="AQ5" s="2"/>
      <c r="AS5" s="405"/>
      <c r="AT5" s="197"/>
      <c r="AU5" s="2"/>
      <c r="AV5" s="2"/>
      <c r="AW5" s="2"/>
      <c r="AX5" s="2"/>
      <c r="AY5" s="405"/>
      <c r="AZ5" s="197"/>
      <c r="BA5" s="1"/>
      <c r="BB5" s="1"/>
      <c r="BC5" s="1"/>
      <c r="BD5" s="3"/>
      <c r="BE5" s="197"/>
      <c r="BF5" s="197"/>
      <c r="BG5" s="2"/>
      <c r="BH5" s="2"/>
      <c r="BI5" s="2"/>
      <c r="BK5" s="405"/>
      <c r="BL5" s="197"/>
      <c r="BM5" s="2"/>
      <c r="BN5" s="2"/>
      <c r="BO5" s="2"/>
      <c r="BP5" s="2"/>
      <c r="BQ5" s="405"/>
      <c r="BR5" s="197"/>
      <c r="BS5" s="1"/>
      <c r="BT5" s="1"/>
      <c r="BU5" s="1"/>
      <c r="BV5" s="3"/>
      <c r="BW5" s="197"/>
      <c r="BX5" s="197"/>
      <c r="BY5" s="1"/>
      <c r="BZ5" s="1"/>
      <c r="CA5" s="1"/>
      <c r="CB5" s="3"/>
      <c r="CC5" s="197"/>
      <c r="CD5" s="197"/>
      <c r="CE5" s="2"/>
      <c r="CF5" s="2"/>
      <c r="CG5" s="2"/>
      <c r="CI5" s="405"/>
      <c r="CJ5" s="197"/>
      <c r="CK5" s="2"/>
      <c r="CL5" s="2"/>
      <c r="CM5" s="2"/>
      <c r="CN5" s="3"/>
      <c r="CO5" s="405"/>
      <c r="CP5" s="197"/>
      <c r="CQ5" s="2"/>
      <c r="CR5" s="2"/>
      <c r="CS5" s="2"/>
      <c r="CT5" s="3"/>
      <c r="CU5" s="280"/>
      <c r="CV5" s="280"/>
      <c r="CW5" s="2"/>
      <c r="CX5" s="2"/>
      <c r="CY5" s="2"/>
      <c r="CZ5" s="2"/>
      <c r="DA5" s="280"/>
      <c r="DB5" s="280"/>
      <c r="DC5" s="2"/>
      <c r="DD5" s="2"/>
      <c r="DE5" s="2"/>
      <c r="DF5" s="2"/>
      <c r="DG5" s="280"/>
      <c r="DH5" s="280"/>
      <c r="DI5" s="2"/>
      <c r="DJ5" s="2"/>
      <c r="DK5" s="2"/>
      <c r="DL5" s="2"/>
      <c r="DM5" s="280"/>
      <c r="DN5" s="280"/>
      <c r="DO5" s="2"/>
      <c r="DP5" s="2"/>
      <c r="DQ5" s="2"/>
      <c r="DR5" s="2"/>
      <c r="DS5" s="280"/>
      <c r="DT5" s="280"/>
      <c r="DU5" s="2"/>
      <c r="DV5" s="2"/>
      <c r="DW5" s="2"/>
      <c r="DX5" s="2"/>
      <c r="DY5" s="280"/>
      <c r="DZ5" s="280"/>
      <c r="EA5" s="2"/>
      <c r="EB5" s="2"/>
      <c r="EC5" s="2"/>
      <c r="ED5" s="2"/>
      <c r="EE5" s="280"/>
      <c r="EF5" s="280"/>
      <c r="EG5" s="2"/>
      <c r="EH5" s="2"/>
      <c r="EI5" s="2"/>
      <c r="EJ5" s="2"/>
      <c r="EK5" s="280"/>
      <c r="EL5" s="280"/>
      <c r="EM5" s="2"/>
      <c r="EN5" s="2"/>
      <c r="EO5" s="2"/>
      <c r="EP5" s="2"/>
      <c r="EQ5" s="280"/>
      <c r="ER5" s="280"/>
      <c r="ES5" s="2"/>
      <c r="ET5" s="2"/>
      <c r="EU5" s="2"/>
      <c r="EV5" s="2"/>
      <c r="EW5" s="280"/>
      <c r="EX5" s="280"/>
      <c r="EY5" s="2"/>
      <c r="EZ5" s="2"/>
      <c r="FA5" s="2"/>
      <c r="FB5" s="2"/>
      <c r="FC5" s="280"/>
      <c r="FD5" s="280"/>
      <c r="FE5" s="2"/>
      <c r="FF5" s="2"/>
      <c r="FG5" s="2"/>
      <c r="FH5" s="2"/>
      <c r="FI5" s="280"/>
      <c r="FJ5" s="280"/>
      <c r="FK5" s="2"/>
      <c r="FL5" s="2"/>
      <c r="FM5" s="2"/>
      <c r="FN5" s="2"/>
      <c r="FO5" s="280"/>
      <c r="FP5" s="280"/>
      <c r="FQ5" s="2"/>
      <c r="FR5" s="2"/>
      <c r="FS5" s="2"/>
      <c r="FT5" s="2"/>
      <c r="FU5" s="280"/>
      <c r="FV5" s="280"/>
      <c r="FW5" s="2"/>
      <c r="FX5" s="2"/>
      <c r="FY5" s="2"/>
      <c r="FZ5" s="2"/>
      <c r="GA5" s="280"/>
      <c r="GB5" s="280"/>
      <c r="GC5" s="2"/>
      <c r="GD5" s="2"/>
      <c r="GE5" s="2"/>
      <c r="GF5" s="2"/>
      <c r="GG5" s="280"/>
      <c r="GH5" s="280"/>
      <c r="GI5" s="2"/>
      <c r="GJ5" s="2"/>
      <c r="GK5" s="2"/>
      <c r="GL5" s="2"/>
      <c r="GM5" s="280"/>
      <c r="GN5" s="280"/>
      <c r="GO5" s="2"/>
      <c r="GP5" s="2"/>
      <c r="GQ5" s="2"/>
      <c r="GR5" s="2"/>
      <c r="GS5" s="280"/>
      <c r="GT5" s="280"/>
      <c r="GU5" s="2"/>
      <c r="GV5" s="2"/>
      <c r="GW5" s="2"/>
      <c r="GX5" s="2"/>
      <c r="GY5" s="280"/>
      <c r="GZ5" s="280"/>
      <c r="HA5" s="2"/>
      <c r="HB5" s="2"/>
      <c r="HC5" s="2"/>
      <c r="HD5" s="2"/>
      <c r="HE5" s="280"/>
      <c r="HF5" s="280"/>
      <c r="HG5" s="2"/>
      <c r="HH5" s="2"/>
      <c r="HI5" s="2"/>
      <c r="HJ5" s="2"/>
    </row>
    <row r="6" spans="1:218" ht="12.9" customHeight="1" x14ac:dyDescent="0.2">
      <c r="A6" s="10" t="str">
        <f>+'Past Quartets 1st - 3rd Place'!A6</f>
        <v>1977</v>
      </c>
      <c r="B6" s="503">
        <f>+'Past Quartets 1st - 3rd Place'!B6</f>
        <v>28</v>
      </c>
      <c r="C6" s="280" t="s">
        <v>729</v>
      </c>
      <c r="D6" s="197" t="s">
        <v>730</v>
      </c>
      <c r="E6" s="1" t="s">
        <v>1747</v>
      </c>
      <c r="F6" s="1" t="s">
        <v>731</v>
      </c>
      <c r="G6" s="1" t="s">
        <v>298</v>
      </c>
      <c r="H6" s="1" t="s">
        <v>687</v>
      </c>
      <c r="I6" s="405" t="s">
        <v>3529</v>
      </c>
      <c r="J6" s="245" t="s">
        <v>2041</v>
      </c>
      <c r="K6" s="2" t="s">
        <v>3535</v>
      </c>
      <c r="L6" s="2" t="s">
        <v>3536</v>
      </c>
      <c r="M6" s="2" t="s">
        <v>3194</v>
      </c>
      <c r="N6" s="3" t="s">
        <v>3538</v>
      </c>
      <c r="O6" s="280" t="s">
        <v>713</v>
      </c>
      <c r="P6" s="197" t="s">
        <v>579</v>
      </c>
      <c r="Q6" s="1" t="s">
        <v>714</v>
      </c>
      <c r="R6" s="1" t="s">
        <v>715</v>
      </c>
      <c r="S6" s="1" t="s">
        <v>3219</v>
      </c>
      <c r="T6" s="3" t="s">
        <v>2707</v>
      </c>
      <c r="U6" s="197" t="s">
        <v>738</v>
      </c>
      <c r="V6" s="197" t="s">
        <v>2035</v>
      </c>
      <c r="W6" s="1" t="s">
        <v>725</v>
      </c>
      <c r="X6" s="1" t="s">
        <v>726</v>
      </c>
      <c r="Y6" s="1" t="s">
        <v>728</v>
      </c>
      <c r="Z6" s="3" t="s">
        <v>727</v>
      </c>
      <c r="AA6" s="405" t="s">
        <v>716</v>
      </c>
      <c r="AB6" s="197" t="s">
        <v>579</v>
      </c>
      <c r="AC6" s="1" t="s">
        <v>3389</v>
      </c>
      <c r="AD6" s="1" t="s">
        <v>717</v>
      </c>
      <c r="AE6" s="1" t="s">
        <v>718</v>
      </c>
      <c r="AF6" s="3" t="s">
        <v>297</v>
      </c>
      <c r="AG6" s="280" t="s">
        <v>3539</v>
      </c>
      <c r="AH6" s="197" t="s">
        <v>2035</v>
      </c>
      <c r="AI6" s="2" t="s">
        <v>711</v>
      </c>
      <c r="AJ6" s="2" t="s">
        <v>710</v>
      </c>
      <c r="AK6" s="2" t="s">
        <v>709</v>
      </c>
      <c r="AL6" s="3" t="s">
        <v>712</v>
      </c>
      <c r="AM6" s="197" t="s">
        <v>846</v>
      </c>
      <c r="AN6" s="197" t="s">
        <v>847</v>
      </c>
      <c r="AO6" s="2" t="s">
        <v>3195</v>
      </c>
      <c r="AP6" s="2" t="s">
        <v>3196</v>
      </c>
      <c r="AQ6" s="2" t="s">
        <v>3197</v>
      </c>
      <c r="AR6" s="2" t="s">
        <v>3198</v>
      </c>
      <c r="AS6" s="405" t="s">
        <v>643</v>
      </c>
      <c r="AT6" s="197" t="s">
        <v>3526</v>
      </c>
      <c r="AU6" s="2" t="s">
        <v>3094</v>
      </c>
      <c r="AV6" s="2" t="s">
        <v>644</v>
      </c>
      <c r="AW6" s="2" t="s">
        <v>561</v>
      </c>
      <c r="AX6" s="3" t="s">
        <v>562</v>
      </c>
      <c r="AY6" s="280" t="s">
        <v>3681</v>
      </c>
      <c r="AZ6" s="197" t="s">
        <v>130</v>
      </c>
      <c r="BA6" s="2" t="s">
        <v>2739</v>
      </c>
      <c r="BB6" s="2" t="s">
        <v>4258</v>
      </c>
      <c r="BC6" s="2" t="s">
        <v>701</v>
      </c>
      <c r="BD6" s="3" t="s">
        <v>4259</v>
      </c>
      <c r="BE6" s="405" t="s">
        <v>3628</v>
      </c>
      <c r="BF6" s="197" t="s">
        <v>4249</v>
      </c>
      <c r="BG6" s="1" t="s">
        <v>796</v>
      </c>
      <c r="BH6" s="1" t="s">
        <v>518</v>
      </c>
      <c r="BI6" s="1" t="s">
        <v>519</v>
      </c>
      <c r="BJ6" s="3" t="s">
        <v>3543</v>
      </c>
      <c r="BK6" s="405"/>
      <c r="BL6" s="197"/>
      <c r="BM6" s="2"/>
      <c r="BN6" s="2"/>
      <c r="BO6" s="2"/>
      <c r="BP6" s="3"/>
      <c r="BQ6" s="280"/>
      <c r="BR6" s="197"/>
      <c r="BS6" s="2"/>
      <c r="BT6" s="2"/>
      <c r="BU6" s="2"/>
      <c r="BV6" s="3"/>
      <c r="BW6" s="197"/>
      <c r="BX6" s="197"/>
      <c r="BY6" s="2"/>
      <c r="BZ6" s="2"/>
      <c r="CA6" s="2"/>
      <c r="CB6" s="3"/>
      <c r="CC6" s="405"/>
      <c r="CD6" s="197"/>
      <c r="CE6" s="2"/>
      <c r="CF6" s="2"/>
      <c r="CG6" s="2"/>
      <c r="CH6" s="2"/>
      <c r="CI6" s="405"/>
      <c r="CJ6" s="197"/>
      <c r="CK6" s="2"/>
      <c r="CL6" s="2"/>
      <c r="CM6" s="2"/>
      <c r="CN6" s="3"/>
      <c r="CO6" s="405"/>
      <c r="CP6" s="197"/>
      <c r="CQ6" s="2"/>
      <c r="CR6" s="2"/>
      <c r="CS6" s="2"/>
      <c r="CT6" s="3"/>
      <c r="CU6" s="280"/>
      <c r="CV6" s="280"/>
      <c r="CW6" s="2"/>
      <c r="CX6" s="2"/>
      <c r="CY6" s="2"/>
      <c r="CZ6" s="2"/>
      <c r="DA6" s="280"/>
      <c r="DB6" s="280"/>
      <c r="DC6" s="2"/>
      <c r="DD6" s="2"/>
      <c r="DE6" s="2"/>
      <c r="DF6" s="2"/>
      <c r="DG6" s="280"/>
      <c r="DH6" s="280"/>
      <c r="DI6" s="2"/>
      <c r="DJ6" s="2"/>
      <c r="DK6" s="2"/>
      <c r="DL6" s="2"/>
      <c r="DM6" s="280"/>
      <c r="DN6" s="280"/>
      <c r="DO6" s="2"/>
      <c r="DP6" s="2"/>
      <c r="DQ6" s="2"/>
      <c r="DR6" s="2"/>
      <c r="DS6" s="280"/>
      <c r="DT6" s="280"/>
      <c r="DU6" s="2"/>
      <c r="DV6" s="2"/>
      <c r="DW6" s="2"/>
      <c r="DX6" s="2"/>
      <c r="DY6" s="280"/>
      <c r="DZ6" s="280"/>
      <c r="EA6" s="2"/>
      <c r="EB6" s="2"/>
      <c r="EC6" s="2"/>
      <c r="ED6" s="2"/>
      <c r="EE6" s="280"/>
      <c r="EF6" s="280"/>
      <c r="EG6" s="2"/>
      <c r="EH6" s="2"/>
      <c r="EI6" s="2"/>
      <c r="EJ6" s="2"/>
      <c r="EK6" s="280"/>
      <c r="EL6" s="280"/>
      <c r="EM6" s="2"/>
      <c r="EN6" s="2"/>
      <c r="EO6" s="2"/>
      <c r="EP6" s="2"/>
      <c r="EQ6" s="280"/>
      <c r="ER6" s="280"/>
      <c r="ES6" s="2"/>
      <c r="ET6" s="2"/>
      <c r="EU6" s="2"/>
      <c r="EV6" s="2"/>
      <c r="EW6" s="280"/>
      <c r="EX6" s="280"/>
      <c r="EY6" s="2"/>
      <c r="EZ6" s="2"/>
      <c r="FA6" s="2"/>
      <c r="FB6" s="2"/>
      <c r="FC6" s="280"/>
      <c r="FD6" s="280"/>
      <c r="FE6" s="2"/>
      <c r="FF6" s="2"/>
      <c r="FG6" s="2"/>
      <c r="FH6" s="2"/>
      <c r="FI6" s="280"/>
      <c r="FJ6" s="280"/>
      <c r="FK6" s="2"/>
      <c r="FL6" s="2"/>
      <c r="FM6" s="2"/>
      <c r="FN6" s="2"/>
      <c r="FO6" s="280"/>
      <c r="FP6" s="280"/>
      <c r="FQ6" s="2"/>
      <c r="FR6" s="2"/>
      <c r="FS6" s="2"/>
      <c r="FT6" s="2"/>
      <c r="FU6" s="280"/>
      <c r="FV6" s="280"/>
      <c r="FW6" s="2"/>
      <c r="FX6" s="2"/>
      <c r="FY6" s="2"/>
      <c r="FZ6" s="2"/>
      <c r="GA6" s="280"/>
      <c r="GB6" s="280"/>
      <c r="GC6" s="2"/>
      <c r="GD6" s="2"/>
      <c r="GE6" s="2"/>
      <c r="GF6" s="2"/>
      <c r="GG6" s="280"/>
      <c r="GH6" s="280"/>
      <c r="GI6" s="2"/>
      <c r="GJ6" s="2"/>
      <c r="GK6" s="2"/>
      <c r="GL6" s="2"/>
      <c r="GM6" s="280"/>
      <c r="GN6" s="280"/>
      <c r="GO6" s="2"/>
      <c r="GP6" s="2"/>
      <c r="GQ6" s="2"/>
      <c r="GR6" s="2"/>
      <c r="GS6" s="280"/>
      <c r="GT6" s="280"/>
      <c r="GU6" s="2"/>
      <c r="GV6" s="2"/>
      <c r="GW6" s="2"/>
      <c r="GX6" s="2"/>
      <c r="GY6" s="280"/>
      <c r="GZ6" s="280"/>
      <c r="HA6" s="2"/>
      <c r="HB6" s="2"/>
      <c r="HC6" s="2"/>
      <c r="HD6" s="2"/>
      <c r="HE6" s="280"/>
      <c r="HF6" s="280"/>
      <c r="HG6" s="2"/>
      <c r="HH6" s="2"/>
      <c r="HI6" s="2"/>
      <c r="HJ6" s="2"/>
    </row>
    <row r="7" spans="1:218" ht="12.9" customHeight="1" x14ac:dyDescent="0.2">
      <c r="A7" s="10" t="str">
        <f>+'Past Quartets 1st - 3rd Place'!A7</f>
        <v>1978</v>
      </c>
      <c r="B7" s="503">
        <f>+'Past Quartets 1st - 3rd Place'!B7</f>
        <v>16</v>
      </c>
      <c r="C7" s="528" t="s">
        <v>3529</v>
      </c>
      <c r="D7" s="245" t="s">
        <v>2041</v>
      </c>
      <c r="E7" s="2" t="s">
        <v>3535</v>
      </c>
      <c r="F7" s="2" t="s">
        <v>3536</v>
      </c>
      <c r="G7" s="2" t="s">
        <v>3194</v>
      </c>
      <c r="H7" s="3" t="s">
        <v>3538</v>
      </c>
      <c r="I7" s="405" t="s">
        <v>7</v>
      </c>
      <c r="J7" s="197" t="s">
        <v>517</v>
      </c>
      <c r="K7" s="2" t="s">
        <v>2795</v>
      </c>
      <c r="L7" s="2" t="s">
        <v>2270</v>
      </c>
      <c r="M7" s="2" t="s">
        <v>1697</v>
      </c>
      <c r="N7" s="2" t="s">
        <v>3248</v>
      </c>
      <c r="O7" s="405" t="s">
        <v>3540</v>
      </c>
      <c r="P7" s="197" t="s">
        <v>4249</v>
      </c>
      <c r="Q7" s="1" t="s">
        <v>1276</v>
      </c>
      <c r="R7" s="2" t="s">
        <v>3193</v>
      </c>
      <c r="S7" s="1" t="s">
        <v>37</v>
      </c>
      <c r="T7" s="3" t="s">
        <v>1275</v>
      </c>
      <c r="U7" s="197" t="s">
        <v>3681</v>
      </c>
      <c r="V7" s="197" t="s">
        <v>130</v>
      </c>
      <c r="W7" s="2" t="s">
        <v>2739</v>
      </c>
      <c r="X7" s="2" t="s">
        <v>4258</v>
      </c>
      <c r="Y7" s="2" t="s">
        <v>701</v>
      </c>
      <c r="Z7" s="2" t="s">
        <v>4259</v>
      </c>
      <c r="AA7" s="405" t="s">
        <v>3539</v>
      </c>
      <c r="AB7" s="197" t="s">
        <v>2035</v>
      </c>
      <c r="AC7" s="1" t="s">
        <v>3629</v>
      </c>
      <c r="AD7" s="1" t="s">
        <v>710</v>
      </c>
      <c r="AE7" s="1" t="s">
        <v>711</v>
      </c>
      <c r="AF7" s="3" t="s">
        <v>712</v>
      </c>
      <c r="AG7" s="197" t="s">
        <v>3397</v>
      </c>
      <c r="AH7" s="197" t="s">
        <v>3398</v>
      </c>
      <c r="AI7" s="2" t="s">
        <v>705</v>
      </c>
      <c r="AJ7" s="2" t="s">
        <v>369</v>
      </c>
      <c r="AK7" s="2" t="s">
        <v>370</v>
      </c>
      <c r="AL7" s="3" t="s">
        <v>1851</v>
      </c>
      <c r="AM7" s="197" t="s">
        <v>2271</v>
      </c>
      <c r="AN7" s="197" t="s">
        <v>2272</v>
      </c>
      <c r="AO7" s="2" t="s">
        <v>3395</v>
      </c>
      <c r="AP7" s="2" t="s">
        <v>1368</v>
      </c>
      <c r="AQ7" s="2" t="s">
        <v>2274</v>
      </c>
      <c r="AR7" s="3" t="s">
        <v>280</v>
      </c>
      <c r="AS7" s="405" t="s">
        <v>845</v>
      </c>
      <c r="AT7" s="197" t="s">
        <v>3398</v>
      </c>
      <c r="AU7" s="2" t="s">
        <v>719</v>
      </c>
      <c r="AV7" s="2" t="s">
        <v>720</v>
      </c>
      <c r="AW7" s="2" t="s">
        <v>721</v>
      </c>
      <c r="AX7" s="2" t="s">
        <v>2555</v>
      </c>
      <c r="AY7" s="405" t="s">
        <v>8</v>
      </c>
      <c r="AZ7" s="197" t="s">
        <v>3357</v>
      </c>
      <c r="BA7" s="1" t="s">
        <v>3094</v>
      </c>
      <c r="BB7" s="2" t="s">
        <v>2491</v>
      </c>
      <c r="BC7" s="1" t="s">
        <v>702</v>
      </c>
      <c r="BD7" s="3" t="s">
        <v>737</v>
      </c>
      <c r="BE7" s="197" t="s">
        <v>846</v>
      </c>
      <c r="BF7" s="197" t="s">
        <v>847</v>
      </c>
      <c r="BG7" s="2" t="s">
        <v>3195</v>
      </c>
      <c r="BH7" s="2" t="s">
        <v>3196</v>
      </c>
      <c r="BI7" s="2" t="s">
        <v>3197</v>
      </c>
      <c r="BJ7" s="2" t="s">
        <v>3198</v>
      </c>
      <c r="BK7" s="405"/>
      <c r="BL7" s="197"/>
      <c r="BM7" s="2"/>
      <c r="BN7" s="2"/>
      <c r="BO7" s="2"/>
      <c r="BP7" s="2"/>
      <c r="BQ7" s="405"/>
      <c r="BR7" s="197"/>
      <c r="BS7" s="1"/>
      <c r="BT7" s="2"/>
      <c r="BU7" s="1"/>
      <c r="BV7" s="3"/>
      <c r="BW7" s="197"/>
      <c r="BX7" s="197"/>
      <c r="BY7" s="1"/>
      <c r="BZ7" s="2"/>
      <c r="CA7" s="1"/>
      <c r="CB7" s="3"/>
      <c r="CC7" s="197"/>
      <c r="CD7" s="197"/>
      <c r="CE7" s="2"/>
      <c r="CF7" s="2"/>
      <c r="CG7" s="2"/>
      <c r="CH7" s="3"/>
      <c r="CI7" s="405"/>
      <c r="CJ7" s="197"/>
      <c r="CK7" s="2"/>
      <c r="CL7" s="2"/>
      <c r="CM7" s="2"/>
      <c r="CN7" s="3"/>
      <c r="CO7" s="405"/>
      <c r="CP7" s="197"/>
      <c r="CQ7" s="2"/>
      <c r="CR7" s="2"/>
      <c r="CS7" s="2"/>
      <c r="CT7" s="3"/>
      <c r="CU7" s="280"/>
      <c r="CV7" s="280"/>
      <c r="CW7" s="2"/>
      <c r="CX7" s="2"/>
      <c r="CY7" s="2"/>
      <c r="CZ7" s="2"/>
      <c r="DA7" s="280"/>
      <c r="DB7" s="280"/>
      <c r="DC7" s="2"/>
      <c r="DD7" s="2"/>
      <c r="DE7" s="2"/>
      <c r="DF7" s="2"/>
      <c r="DG7" s="280"/>
      <c r="DH7" s="280"/>
      <c r="DI7" s="2"/>
      <c r="DJ7" s="2"/>
      <c r="DK7" s="2"/>
      <c r="DL7" s="2"/>
      <c r="DM7" s="280"/>
      <c r="DN7" s="280"/>
      <c r="DO7" s="2"/>
      <c r="DP7" s="2"/>
      <c r="DQ7" s="2"/>
      <c r="DR7" s="2"/>
      <c r="DS7" s="280"/>
      <c r="DT7" s="280"/>
      <c r="DU7" s="2"/>
      <c r="DV7" s="2"/>
      <c r="DW7" s="2"/>
      <c r="DX7" s="2"/>
      <c r="DY7" s="280"/>
      <c r="DZ7" s="280"/>
      <c r="EA7" s="2"/>
      <c r="EB7" s="2"/>
      <c r="EC7" s="2"/>
      <c r="ED7" s="2"/>
      <c r="EE7" s="280"/>
      <c r="EF7" s="280"/>
      <c r="EG7" s="2"/>
      <c r="EH7" s="2"/>
      <c r="EI7" s="2"/>
      <c r="EJ7" s="2"/>
      <c r="EK7" s="280"/>
      <c r="EL7" s="280"/>
      <c r="EM7" s="2"/>
      <c r="EN7" s="2"/>
      <c r="EO7" s="2"/>
      <c r="EP7" s="2"/>
      <c r="EQ7" s="280"/>
      <c r="ER7" s="280"/>
      <c r="ES7" s="2"/>
      <c r="ET7" s="2"/>
      <c r="EU7" s="2"/>
      <c r="EV7" s="2"/>
      <c r="EW7" s="280"/>
      <c r="EX7" s="280"/>
      <c r="EY7" s="2"/>
      <c r="EZ7" s="2"/>
      <c r="FA7" s="2"/>
      <c r="FB7" s="2"/>
      <c r="FC7" s="280"/>
      <c r="FD7" s="280"/>
      <c r="FE7" s="2"/>
      <c r="FF7" s="2"/>
      <c r="FG7" s="2"/>
      <c r="FH7" s="2"/>
      <c r="FI7" s="280"/>
      <c r="FJ7" s="280"/>
      <c r="FK7" s="2"/>
      <c r="FL7" s="2"/>
      <c r="FM7" s="2"/>
      <c r="FN7" s="2"/>
      <c r="FO7" s="280"/>
      <c r="FP7" s="280"/>
      <c r="FQ7" s="2"/>
      <c r="FR7" s="2"/>
      <c r="FS7" s="2"/>
      <c r="FT7" s="2"/>
      <c r="FU7" s="280"/>
      <c r="FV7" s="280"/>
      <c r="FW7" s="2"/>
      <c r="FX7" s="2"/>
      <c r="FY7" s="2"/>
      <c r="FZ7" s="2"/>
      <c r="GA7" s="280"/>
      <c r="GB7" s="280"/>
      <c r="GC7" s="2"/>
      <c r="GD7" s="2"/>
      <c r="GE7" s="2"/>
      <c r="GF7" s="2"/>
      <c r="GG7" s="280"/>
      <c r="GH7" s="280"/>
      <c r="GI7" s="2"/>
      <c r="GJ7" s="2"/>
      <c r="GK7" s="2"/>
      <c r="GL7" s="2"/>
      <c r="GM7" s="280"/>
      <c r="GN7" s="280"/>
      <c r="GO7" s="2"/>
      <c r="GP7" s="2"/>
      <c r="GQ7" s="2"/>
      <c r="GR7" s="2"/>
      <c r="GS7" s="280"/>
      <c r="GT7" s="280"/>
      <c r="GU7" s="2"/>
      <c r="GV7" s="2"/>
      <c r="GW7" s="2"/>
      <c r="GX7" s="2"/>
      <c r="GY7" s="280"/>
      <c r="GZ7" s="280"/>
      <c r="HA7" s="2"/>
      <c r="HB7" s="2"/>
      <c r="HC7" s="2"/>
      <c r="HD7" s="2"/>
      <c r="HE7" s="280"/>
      <c r="HF7" s="280"/>
      <c r="HG7" s="2"/>
      <c r="HH7" s="2"/>
      <c r="HI7" s="2"/>
      <c r="HJ7" s="2"/>
    </row>
    <row r="8" spans="1:218" ht="12.9" customHeight="1" x14ac:dyDescent="0.2">
      <c r="A8" s="500" t="s">
        <v>3213</v>
      </c>
      <c r="B8" s="611"/>
      <c r="C8" s="609" t="s">
        <v>3214</v>
      </c>
      <c r="D8" s="197" t="s">
        <v>3215</v>
      </c>
      <c r="E8" s="2" t="s">
        <v>3215</v>
      </c>
      <c r="F8" s="2" t="s">
        <v>3215</v>
      </c>
      <c r="G8" s="2" t="s">
        <v>3215</v>
      </c>
      <c r="H8" s="3" t="s">
        <v>3215</v>
      </c>
      <c r="I8" s="197" t="s">
        <v>3215</v>
      </c>
      <c r="J8" s="197" t="s">
        <v>3215</v>
      </c>
      <c r="K8" s="2" t="s">
        <v>3215</v>
      </c>
      <c r="L8" s="2" t="s">
        <v>3215</v>
      </c>
      <c r="M8" s="2" t="s">
        <v>3215</v>
      </c>
      <c r="N8" s="3" t="s">
        <v>3215</v>
      </c>
      <c r="O8" s="197" t="s">
        <v>3215</v>
      </c>
      <c r="P8" s="197" t="s">
        <v>3215</v>
      </c>
      <c r="Q8" s="2" t="s">
        <v>3215</v>
      </c>
      <c r="R8" s="2" t="s">
        <v>3215</v>
      </c>
      <c r="S8" s="2" t="s">
        <v>3215</v>
      </c>
      <c r="T8" s="3" t="s">
        <v>3215</v>
      </c>
      <c r="U8" s="501" t="s">
        <v>3214</v>
      </c>
      <c r="V8" s="197" t="s">
        <v>3215</v>
      </c>
      <c r="W8" s="2" t="s">
        <v>3215</v>
      </c>
      <c r="X8" s="2" t="s">
        <v>3215</v>
      </c>
      <c r="Y8" s="2" t="s">
        <v>3215</v>
      </c>
      <c r="Z8" s="3" t="s">
        <v>3215</v>
      </c>
      <c r="AA8" s="197" t="s">
        <v>3215</v>
      </c>
      <c r="AB8" s="197" t="s">
        <v>3215</v>
      </c>
      <c r="AC8" s="2" t="s">
        <v>3215</v>
      </c>
      <c r="AD8" s="2" t="s">
        <v>3215</v>
      </c>
      <c r="AE8" s="2" t="s">
        <v>3215</v>
      </c>
      <c r="AF8" s="3" t="s">
        <v>3215</v>
      </c>
      <c r="AG8" s="197" t="s">
        <v>3215</v>
      </c>
      <c r="AH8" s="197" t="s">
        <v>3215</v>
      </c>
      <c r="AI8" s="2" t="s">
        <v>3215</v>
      </c>
      <c r="AJ8" s="2" t="s">
        <v>3215</v>
      </c>
      <c r="AK8" s="2" t="s">
        <v>3215</v>
      </c>
      <c r="AL8" s="3" t="s">
        <v>3215</v>
      </c>
      <c r="AM8" s="501" t="s">
        <v>3214</v>
      </c>
      <c r="AN8" s="197" t="s">
        <v>3215</v>
      </c>
      <c r="AO8" s="2" t="s">
        <v>3215</v>
      </c>
      <c r="AP8" s="2" t="s">
        <v>3215</v>
      </c>
      <c r="AQ8" s="2" t="s">
        <v>3215</v>
      </c>
      <c r="AR8" s="3" t="s">
        <v>3215</v>
      </c>
      <c r="AS8" s="197" t="s">
        <v>3215</v>
      </c>
      <c r="AT8" s="197" t="s">
        <v>3215</v>
      </c>
      <c r="AU8" s="2" t="s">
        <v>3215</v>
      </c>
      <c r="AV8" s="2" t="s">
        <v>3215</v>
      </c>
      <c r="AW8" s="2" t="s">
        <v>3215</v>
      </c>
      <c r="AX8" s="3" t="s">
        <v>3215</v>
      </c>
      <c r="AY8" s="197" t="s">
        <v>3215</v>
      </c>
      <c r="AZ8" s="197" t="s">
        <v>3215</v>
      </c>
      <c r="BA8" s="2" t="s">
        <v>3215</v>
      </c>
      <c r="BB8" s="2" t="s">
        <v>3215</v>
      </c>
      <c r="BC8" s="2" t="s">
        <v>3215</v>
      </c>
      <c r="BD8" s="3" t="s">
        <v>3215</v>
      </c>
      <c r="BE8" s="501" t="s">
        <v>3214</v>
      </c>
      <c r="BF8" s="197" t="s">
        <v>3215</v>
      </c>
      <c r="BG8" s="2" t="s">
        <v>3215</v>
      </c>
      <c r="BH8" s="2" t="s">
        <v>3215</v>
      </c>
      <c r="BI8" s="2" t="s">
        <v>3215</v>
      </c>
      <c r="BJ8" s="3" t="s">
        <v>3215</v>
      </c>
      <c r="BK8" s="197" t="s">
        <v>3215</v>
      </c>
      <c r="BL8" s="197" t="s">
        <v>3215</v>
      </c>
      <c r="BM8" s="2" t="s">
        <v>3215</v>
      </c>
      <c r="BN8" s="2" t="s">
        <v>3215</v>
      </c>
      <c r="BO8" s="2" t="s">
        <v>3215</v>
      </c>
      <c r="BP8" s="3" t="s">
        <v>3215</v>
      </c>
      <c r="BQ8" s="197" t="s">
        <v>3215</v>
      </c>
      <c r="BR8" s="197" t="s">
        <v>3215</v>
      </c>
      <c r="BS8" s="2" t="s">
        <v>3215</v>
      </c>
      <c r="BT8" s="2" t="s">
        <v>3215</v>
      </c>
      <c r="BU8" s="2" t="s">
        <v>3215</v>
      </c>
      <c r="BV8" s="3" t="s">
        <v>3215</v>
      </c>
      <c r="BW8" s="501" t="s">
        <v>3214</v>
      </c>
      <c r="BX8" s="197" t="s">
        <v>3215</v>
      </c>
      <c r="BY8" s="2" t="s">
        <v>3215</v>
      </c>
      <c r="BZ8" s="2" t="s">
        <v>3215</v>
      </c>
      <c r="CA8" s="2" t="s">
        <v>3215</v>
      </c>
      <c r="CB8" s="3" t="s">
        <v>3215</v>
      </c>
      <c r="CD8" s="197" t="s">
        <v>3215</v>
      </c>
      <c r="CE8" s="2" t="s">
        <v>3215</v>
      </c>
      <c r="CF8" s="2" t="s">
        <v>3215</v>
      </c>
      <c r="CG8" s="2" t="s">
        <v>3215</v>
      </c>
      <c r="CH8" s="3" t="s">
        <v>3215</v>
      </c>
      <c r="CI8" s="197" t="s">
        <v>3215</v>
      </c>
      <c r="CJ8" s="197" t="s">
        <v>3215</v>
      </c>
      <c r="CK8" s="2" t="s">
        <v>3215</v>
      </c>
      <c r="CL8" s="2" t="s">
        <v>3215</v>
      </c>
      <c r="CM8" s="2" t="s">
        <v>3215</v>
      </c>
      <c r="CN8" s="3" t="s">
        <v>3215</v>
      </c>
      <c r="CO8" s="197" t="s">
        <v>3215</v>
      </c>
      <c r="CP8" s="197" t="s">
        <v>3215</v>
      </c>
      <c r="CQ8" s="2" t="s">
        <v>3215</v>
      </c>
      <c r="CR8" s="2" t="s">
        <v>3215</v>
      </c>
      <c r="CS8" s="2" t="s">
        <v>3215</v>
      </c>
      <c r="CT8" s="3" t="s">
        <v>3215</v>
      </c>
      <c r="CU8" s="280"/>
      <c r="CV8" s="280"/>
      <c r="CW8" s="2"/>
      <c r="CX8" s="2"/>
      <c r="CY8" s="2"/>
      <c r="CZ8" s="2"/>
      <c r="DA8" s="280"/>
      <c r="DB8" s="280"/>
      <c r="DC8" s="2"/>
      <c r="DD8" s="2"/>
      <c r="DE8" s="2"/>
      <c r="DF8" s="2"/>
      <c r="DG8" s="280"/>
      <c r="DH8" s="280"/>
      <c r="DI8" s="2"/>
      <c r="DJ8" s="2"/>
      <c r="DK8" s="2"/>
      <c r="DL8" s="2"/>
      <c r="DM8" s="280"/>
      <c r="DN8" s="280"/>
      <c r="DO8" s="2"/>
      <c r="DP8" s="2"/>
      <c r="DQ8" s="2"/>
      <c r="DR8" s="2"/>
      <c r="DS8" s="280"/>
      <c r="DT8" s="280"/>
      <c r="DU8" s="2"/>
      <c r="DV8" s="2"/>
      <c r="DW8" s="2"/>
      <c r="DX8" s="2"/>
      <c r="DY8" s="280"/>
      <c r="DZ8" s="280"/>
      <c r="EA8" s="2"/>
      <c r="EB8" s="2"/>
      <c r="EC8" s="2"/>
      <c r="ED8" s="2"/>
      <c r="EE8" s="280"/>
      <c r="EF8" s="280"/>
      <c r="EG8" s="2"/>
      <c r="EH8" s="2"/>
      <c r="EI8" s="2"/>
      <c r="EJ8" s="2"/>
      <c r="EK8" s="280"/>
      <c r="EL8" s="280"/>
      <c r="EM8" s="2"/>
      <c r="EN8" s="2"/>
      <c r="EO8" s="2"/>
      <c r="EP8" s="2"/>
      <c r="EQ8" s="280"/>
      <c r="ER8" s="280"/>
      <c r="ES8" s="2"/>
      <c r="ET8" s="2"/>
      <c r="EU8" s="2"/>
      <c r="EV8" s="2"/>
      <c r="EW8" s="280"/>
      <c r="EX8" s="280"/>
      <c r="EY8" s="2"/>
      <c r="EZ8" s="2"/>
      <c r="FA8" s="2"/>
      <c r="FB8" s="2"/>
      <c r="FC8" s="280"/>
      <c r="FD8" s="280"/>
      <c r="FE8" s="2"/>
      <c r="FF8" s="2"/>
      <c r="FG8" s="2"/>
      <c r="FH8" s="2"/>
      <c r="FI8" s="280"/>
      <c r="FJ8" s="280"/>
      <c r="FK8" s="2"/>
      <c r="FL8" s="2"/>
      <c r="FM8" s="2"/>
      <c r="FN8" s="2"/>
      <c r="FO8" s="280"/>
      <c r="FP8" s="280"/>
      <c r="FQ8" s="2"/>
      <c r="FR8" s="2"/>
      <c r="FS8" s="2"/>
      <c r="FT8" s="2"/>
      <c r="FU8" s="280"/>
      <c r="FV8" s="280"/>
      <c r="FW8" s="2"/>
      <c r="FX8" s="2"/>
      <c r="FY8" s="2"/>
      <c r="FZ8" s="2"/>
      <c r="GA8" s="280"/>
      <c r="GB8" s="280"/>
      <c r="GC8" s="2"/>
      <c r="GD8" s="2"/>
      <c r="GE8" s="2"/>
      <c r="GF8" s="2"/>
      <c r="GG8" s="280"/>
      <c r="GH8" s="280"/>
      <c r="GI8" s="2"/>
      <c r="GJ8" s="2"/>
      <c r="GK8" s="2"/>
      <c r="GL8" s="2"/>
      <c r="GM8" s="280"/>
      <c r="GN8" s="280"/>
      <c r="GO8" s="2"/>
      <c r="GP8" s="2"/>
      <c r="GQ8" s="2"/>
      <c r="GR8" s="2"/>
      <c r="GS8" s="280"/>
      <c r="GT8" s="280"/>
      <c r="GU8" s="2"/>
      <c r="GV8" s="2"/>
      <c r="GW8" s="2"/>
      <c r="GX8" s="2"/>
      <c r="GY8" s="280"/>
      <c r="GZ8" s="280"/>
      <c r="HA8" s="2"/>
      <c r="HB8" s="2"/>
      <c r="HC8" s="2"/>
      <c r="HD8" s="2"/>
      <c r="HE8" s="280"/>
      <c r="HF8" s="280"/>
      <c r="HG8" s="2"/>
      <c r="HH8" s="2"/>
      <c r="HI8" s="2"/>
      <c r="HJ8" s="2"/>
    </row>
    <row r="9" spans="1:218" ht="12.9" customHeight="1" x14ac:dyDescent="0.2">
      <c r="A9" s="500">
        <v>1979</v>
      </c>
      <c r="B9" s="611"/>
      <c r="C9" s="609" t="s">
        <v>3216</v>
      </c>
      <c r="D9" s="197"/>
      <c r="I9" s="405"/>
      <c r="J9" s="197"/>
      <c r="K9" s="2"/>
      <c r="L9" s="2"/>
      <c r="M9" s="2"/>
      <c r="N9" s="2"/>
      <c r="O9" s="405"/>
      <c r="P9" s="197"/>
      <c r="Q9" s="2"/>
      <c r="R9" s="2"/>
      <c r="S9" s="2"/>
      <c r="T9" s="3"/>
      <c r="U9" s="501" t="s">
        <v>3216</v>
      </c>
      <c r="V9" s="197"/>
      <c r="AA9" s="405"/>
      <c r="AB9" s="197"/>
      <c r="AC9" s="2"/>
      <c r="AD9" s="2"/>
      <c r="AE9" s="2"/>
      <c r="AF9" s="2"/>
      <c r="AG9" s="405"/>
      <c r="AH9" s="197"/>
      <c r="AI9" s="2"/>
      <c r="AJ9" s="2"/>
      <c r="AK9" s="2"/>
      <c r="AL9" s="3"/>
      <c r="AM9" s="501" t="s">
        <v>3216</v>
      </c>
      <c r="AN9" s="197"/>
      <c r="AS9" s="405"/>
      <c r="AT9" s="197"/>
      <c r="AU9" s="2"/>
      <c r="AV9" s="2"/>
      <c r="AW9" s="2"/>
      <c r="AX9" s="2"/>
      <c r="AY9" s="405"/>
      <c r="AZ9" s="197"/>
      <c r="BA9" s="2"/>
      <c r="BB9" s="2"/>
      <c r="BC9" s="2"/>
      <c r="BD9" s="3"/>
      <c r="BE9" s="501" t="s">
        <v>3216</v>
      </c>
      <c r="BF9" s="197"/>
      <c r="BK9" s="405"/>
      <c r="BL9" s="197"/>
      <c r="BM9" s="2"/>
      <c r="BN9" s="2"/>
      <c r="BO9" s="2"/>
      <c r="BP9" s="2"/>
      <c r="BQ9" s="405"/>
      <c r="BR9" s="197"/>
      <c r="BS9" s="2"/>
      <c r="BT9" s="2"/>
      <c r="BU9" s="2"/>
      <c r="BV9" s="3"/>
      <c r="BW9" s="501" t="s">
        <v>3216</v>
      </c>
      <c r="BX9" s="197"/>
      <c r="BY9" s="2"/>
      <c r="BZ9" s="2"/>
      <c r="CA9" s="2"/>
      <c r="CB9" s="3"/>
      <c r="CD9" s="197"/>
      <c r="CI9" s="405"/>
      <c r="CJ9" s="197"/>
      <c r="CK9" s="2"/>
      <c r="CL9" s="2"/>
      <c r="CM9" s="2"/>
      <c r="CN9" s="3"/>
      <c r="CO9" s="405"/>
      <c r="CP9" s="197"/>
      <c r="CQ9" s="2"/>
      <c r="CR9" s="2"/>
      <c r="CS9" s="2"/>
      <c r="CT9" s="3"/>
      <c r="CU9" s="280"/>
      <c r="CV9" s="280"/>
      <c r="CW9" s="2"/>
      <c r="CX9" s="2"/>
      <c r="CY9" s="2"/>
      <c r="CZ9" s="2"/>
      <c r="DA9" s="280"/>
      <c r="DB9" s="280"/>
      <c r="DC9" s="2"/>
      <c r="DD9" s="2"/>
      <c r="DE9" s="2"/>
      <c r="DF9" s="2"/>
      <c r="DG9" s="280"/>
      <c r="DH9" s="280"/>
      <c r="DI9" s="2"/>
      <c r="DJ9" s="2"/>
      <c r="DK9" s="2"/>
      <c r="DL9" s="2"/>
      <c r="DM9" s="280"/>
      <c r="DN9" s="280"/>
      <c r="DO9" s="2"/>
      <c r="DP9" s="2"/>
      <c r="DQ9" s="2"/>
      <c r="DR9" s="2"/>
      <c r="DS9" s="280"/>
      <c r="DT9" s="280"/>
      <c r="DU9" s="2"/>
      <c r="DV9" s="2"/>
      <c r="DW9" s="2"/>
      <c r="DX9" s="2"/>
      <c r="DY9" s="280"/>
      <c r="DZ9" s="280"/>
      <c r="EA9" s="2"/>
      <c r="EB9" s="2"/>
      <c r="EC9" s="2"/>
      <c r="ED9" s="2"/>
      <c r="EE9" s="280"/>
      <c r="EF9" s="280"/>
      <c r="EG9" s="2"/>
      <c r="EH9" s="2"/>
      <c r="EI9" s="2"/>
      <c r="EJ9" s="2"/>
      <c r="EK9" s="280"/>
      <c r="EL9" s="280"/>
      <c r="EM9" s="2"/>
      <c r="EN9" s="2"/>
      <c r="EO9" s="2"/>
      <c r="EP9" s="2"/>
      <c r="EQ9" s="280"/>
      <c r="ER9" s="280"/>
      <c r="ES9" s="2"/>
      <c r="ET9" s="2"/>
      <c r="EU9" s="2"/>
      <c r="EV9" s="2"/>
      <c r="EW9" s="280"/>
      <c r="EX9" s="280"/>
      <c r="EY9" s="2"/>
      <c r="EZ9" s="2"/>
      <c r="FA9" s="2"/>
      <c r="FB9" s="2"/>
      <c r="FC9" s="280"/>
      <c r="FD9" s="280"/>
      <c r="FE9" s="2"/>
      <c r="FF9" s="2"/>
      <c r="FG9" s="2"/>
      <c r="FH9" s="2"/>
      <c r="FI9" s="280"/>
      <c r="FJ9" s="280"/>
      <c r="FK9" s="2"/>
      <c r="FL9" s="2"/>
      <c r="FM9" s="2"/>
      <c r="FN9" s="2"/>
      <c r="FO9" s="280"/>
      <c r="FP9" s="280"/>
      <c r="FQ9" s="2"/>
      <c r="FR9" s="2"/>
      <c r="FS9" s="2"/>
      <c r="FT9" s="2"/>
      <c r="FU9" s="280"/>
      <c r="FV9" s="280"/>
      <c r="FW9" s="2"/>
      <c r="FX9" s="2"/>
      <c r="FY9" s="2"/>
      <c r="FZ9" s="2"/>
      <c r="GA9" s="280"/>
      <c r="GB9" s="280"/>
      <c r="GC9" s="2"/>
      <c r="GD9" s="2"/>
      <c r="GE9" s="2"/>
      <c r="GF9" s="2"/>
      <c r="GG9" s="280"/>
      <c r="GH9" s="280"/>
      <c r="GI9" s="2"/>
      <c r="GJ9" s="2"/>
      <c r="GK9" s="2"/>
      <c r="GL9" s="2"/>
      <c r="GM9" s="280"/>
      <c r="GN9" s="280"/>
      <c r="GO9" s="2"/>
      <c r="GP9" s="2"/>
      <c r="GQ9" s="2"/>
      <c r="GR9" s="2"/>
      <c r="GS9" s="280"/>
      <c r="GT9" s="280"/>
      <c r="GU9" s="2"/>
      <c r="GV9" s="2"/>
      <c r="GW9" s="2"/>
      <c r="GX9" s="2"/>
      <c r="GY9" s="280"/>
      <c r="GZ9" s="280"/>
      <c r="HA9" s="2"/>
      <c r="HB9" s="2"/>
      <c r="HC9" s="2"/>
      <c r="HD9" s="2"/>
      <c r="HE9" s="280"/>
      <c r="HF9" s="280"/>
      <c r="HG9" s="2"/>
      <c r="HH9" s="2"/>
      <c r="HI9" s="2"/>
      <c r="HJ9" s="2"/>
    </row>
    <row r="10" spans="1:218" ht="12.9" customHeight="1" x14ac:dyDescent="0.2">
      <c r="A10" s="10" t="str">
        <f>+'Past Quartets 1st - 3rd Place'!A10</f>
        <v>1980</v>
      </c>
      <c r="B10" s="503">
        <f>+'Past Quartets 1st - 3rd Place'!B10</f>
        <v>21</v>
      </c>
      <c r="C10" s="504" t="s">
        <v>554</v>
      </c>
      <c r="D10" s="245" t="s">
        <v>4230</v>
      </c>
      <c r="E10" s="2" t="s">
        <v>556</v>
      </c>
      <c r="F10" s="2" t="s">
        <v>3918</v>
      </c>
      <c r="G10" s="2" t="s">
        <v>558</v>
      </c>
      <c r="H10" s="3" t="s">
        <v>559</v>
      </c>
      <c r="I10" s="197" t="s">
        <v>854</v>
      </c>
      <c r="J10" s="197" t="s">
        <v>421</v>
      </c>
      <c r="K10" s="1" t="s">
        <v>223</v>
      </c>
      <c r="L10" s="1" t="s">
        <v>446</v>
      </c>
      <c r="M10" s="1" t="s">
        <v>2332</v>
      </c>
      <c r="N10" s="3" t="s">
        <v>2187</v>
      </c>
      <c r="O10" s="405" t="s">
        <v>3388</v>
      </c>
      <c r="P10" s="197" t="s">
        <v>579</v>
      </c>
      <c r="Q10" s="1" t="s">
        <v>3389</v>
      </c>
      <c r="R10" s="2" t="s">
        <v>581</v>
      </c>
      <c r="S10" s="1" t="s">
        <v>3390</v>
      </c>
      <c r="T10" s="3" t="s">
        <v>2707</v>
      </c>
      <c r="U10" s="197" t="s">
        <v>3397</v>
      </c>
      <c r="V10" s="197" t="s">
        <v>3398</v>
      </c>
      <c r="W10" s="2" t="s">
        <v>705</v>
      </c>
      <c r="X10" s="2" t="s">
        <v>369</v>
      </c>
      <c r="Y10" s="2" t="s">
        <v>706</v>
      </c>
      <c r="Z10" s="3" t="s">
        <v>1851</v>
      </c>
      <c r="AA10" s="405" t="s">
        <v>1527</v>
      </c>
      <c r="AB10" s="197" t="s">
        <v>2041</v>
      </c>
      <c r="AC10" s="2" t="s">
        <v>1529</v>
      </c>
      <c r="AD10" s="2" t="s">
        <v>1458</v>
      </c>
      <c r="AE10" s="2" t="s">
        <v>3543</v>
      </c>
      <c r="AF10" s="3" t="s">
        <v>2457</v>
      </c>
      <c r="AG10" s="245" t="s">
        <v>3529</v>
      </c>
      <c r="AH10" s="245" t="s">
        <v>2041</v>
      </c>
      <c r="AI10" s="2" t="s">
        <v>3535</v>
      </c>
      <c r="AJ10" s="2" t="s">
        <v>3536</v>
      </c>
      <c r="AK10" s="2" t="s">
        <v>3194</v>
      </c>
      <c r="AL10" s="3" t="s">
        <v>3538</v>
      </c>
      <c r="AM10" s="197" t="s">
        <v>10</v>
      </c>
      <c r="AN10" s="468" t="s">
        <v>11</v>
      </c>
      <c r="AO10" s="419" t="s">
        <v>1681</v>
      </c>
      <c r="AP10" s="419" t="s">
        <v>3565</v>
      </c>
      <c r="AQ10" s="419" t="s">
        <v>2471</v>
      </c>
      <c r="AR10" s="419" t="s">
        <v>1682</v>
      </c>
      <c r="AS10" s="405" t="s">
        <v>12</v>
      </c>
      <c r="AT10" s="197" t="s">
        <v>2041</v>
      </c>
      <c r="AU10" s="419" t="s">
        <v>2418</v>
      </c>
      <c r="AV10" s="419" t="s">
        <v>2712</v>
      </c>
      <c r="AW10" s="419" t="s">
        <v>3682</v>
      </c>
      <c r="AX10" s="479" t="s">
        <v>1698</v>
      </c>
      <c r="AY10" s="526" t="s">
        <v>1733</v>
      </c>
      <c r="AZ10" s="527" t="s">
        <v>2029</v>
      </c>
      <c r="BA10" s="419" t="s">
        <v>1734</v>
      </c>
      <c r="BB10" s="419" t="s">
        <v>1858</v>
      </c>
      <c r="BC10" s="419" t="s">
        <v>658</v>
      </c>
      <c r="BD10" s="479" t="s">
        <v>1735</v>
      </c>
      <c r="BE10" s="197" t="s">
        <v>13</v>
      </c>
      <c r="BF10" s="197" t="s">
        <v>579</v>
      </c>
      <c r="BG10" s="1" t="s">
        <v>2793</v>
      </c>
      <c r="BH10" s="1" t="s">
        <v>715</v>
      </c>
      <c r="BI10" s="1" t="s">
        <v>563</v>
      </c>
      <c r="BJ10" s="3" t="s">
        <v>564</v>
      </c>
      <c r="BK10" s="405" t="s">
        <v>845</v>
      </c>
      <c r="BL10" s="197" t="s">
        <v>3398</v>
      </c>
      <c r="BM10" s="2" t="s">
        <v>719</v>
      </c>
      <c r="BN10" s="2" t="s">
        <v>720</v>
      </c>
      <c r="BO10" s="2" t="s">
        <v>721</v>
      </c>
      <c r="BP10" s="2" t="s">
        <v>722</v>
      </c>
      <c r="BQ10" s="405" t="s">
        <v>14</v>
      </c>
      <c r="BR10" s="197" t="s">
        <v>3526</v>
      </c>
      <c r="BS10" s="1" t="s">
        <v>750</v>
      </c>
      <c r="BT10" s="1" t="s">
        <v>749</v>
      </c>
      <c r="BU10" s="1" t="s">
        <v>2192</v>
      </c>
      <c r="BV10" s="3" t="s">
        <v>751</v>
      </c>
      <c r="BW10" s="197" t="s">
        <v>15</v>
      </c>
      <c r="BX10" s="245" t="s">
        <v>849</v>
      </c>
      <c r="BY10" s="1" t="s">
        <v>1719</v>
      </c>
      <c r="BZ10" s="1" t="s">
        <v>851</v>
      </c>
      <c r="CA10" s="1" t="s">
        <v>852</v>
      </c>
      <c r="CB10" s="1" t="s">
        <v>690</v>
      </c>
      <c r="CC10" s="197" t="s">
        <v>16</v>
      </c>
      <c r="CD10" s="197" t="s">
        <v>17</v>
      </c>
      <c r="CE10" s="2" t="s">
        <v>2188</v>
      </c>
      <c r="CF10" s="2" t="s">
        <v>1338</v>
      </c>
      <c r="CG10" s="2" t="s">
        <v>2282</v>
      </c>
      <c r="CH10" s="2" t="s">
        <v>2281</v>
      </c>
      <c r="CI10" s="405" t="s">
        <v>792</v>
      </c>
      <c r="CJ10" s="197" t="s">
        <v>1860</v>
      </c>
      <c r="CK10" s="2" t="s">
        <v>1861</v>
      </c>
      <c r="CL10" s="2" t="s">
        <v>1862</v>
      </c>
      <c r="CM10" s="2" t="s">
        <v>2190</v>
      </c>
      <c r="CN10" s="3" t="s">
        <v>794</v>
      </c>
      <c r="CO10" s="405"/>
      <c r="CP10" s="197"/>
      <c r="CQ10" s="2"/>
      <c r="CR10" s="2"/>
      <c r="CS10" s="2"/>
      <c r="CT10" s="3"/>
      <c r="CU10" s="280"/>
      <c r="CV10" s="280"/>
      <c r="CW10" s="2"/>
      <c r="CX10" s="2"/>
      <c r="CY10" s="2"/>
      <c r="CZ10" s="2"/>
      <c r="DA10" s="280"/>
      <c r="DB10" s="280"/>
      <c r="DC10" s="2"/>
      <c r="DD10" s="2"/>
      <c r="DE10" s="2"/>
      <c r="DF10" s="2"/>
      <c r="DG10" s="280"/>
      <c r="DH10" s="280"/>
      <c r="DI10" s="2"/>
      <c r="DJ10" s="2"/>
      <c r="DK10" s="2"/>
      <c r="DL10" s="2"/>
      <c r="DM10" s="280"/>
      <c r="DN10" s="280"/>
      <c r="DO10" s="2"/>
      <c r="DP10" s="2"/>
      <c r="DQ10" s="2"/>
      <c r="DR10" s="2"/>
      <c r="DS10" s="280"/>
      <c r="DT10" s="280"/>
      <c r="DU10" s="2"/>
      <c r="DV10" s="2"/>
      <c r="DW10" s="2"/>
      <c r="DX10" s="2"/>
      <c r="DY10" s="280"/>
      <c r="DZ10" s="280"/>
      <c r="EA10" s="2"/>
      <c r="EB10" s="2"/>
      <c r="EC10" s="2"/>
      <c r="ED10" s="2"/>
      <c r="EE10" s="280"/>
      <c r="EF10" s="280"/>
      <c r="EG10" s="2"/>
      <c r="EH10" s="2"/>
      <c r="EI10" s="2"/>
      <c r="EJ10" s="2"/>
      <c r="EK10" s="280"/>
      <c r="EL10" s="280"/>
      <c r="EM10" s="2"/>
      <c r="EN10" s="2"/>
      <c r="EO10" s="2"/>
      <c r="EP10" s="2"/>
      <c r="EQ10" s="280"/>
      <c r="ER10" s="280"/>
      <c r="ES10" s="2"/>
      <c r="ET10" s="2"/>
      <c r="EU10" s="2"/>
      <c r="EV10" s="2"/>
      <c r="EW10" s="280"/>
      <c r="EX10" s="280"/>
      <c r="EY10" s="2"/>
      <c r="EZ10" s="2"/>
      <c r="FA10" s="2"/>
      <c r="FB10" s="2"/>
      <c r="FC10" s="280"/>
      <c r="FD10" s="280"/>
      <c r="FE10" s="2"/>
      <c r="FF10" s="2"/>
      <c r="FG10" s="2"/>
      <c r="FH10" s="2"/>
      <c r="FI10" s="280"/>
      <c r="FJ10" s="280"/>
      <c r="FK10" s="2"/>
      <c r="FL10" s="2"/>
      <c r="FM10" s="2"/>
      <c r="FN10" s="2"/>
      <c r="FO10" s="280"/>
      <c r="FP10" s="280"/>
      <c r="FQ10" s="2"/>
      <c r="FR10" s="2"/>
      <c r="FS10" s="2"/>
      <c r="FT10" s="2"/>
      <c r="FU10" s="280"/>
      <c r="FV10" s="280"/>
      <c r="FW10" s="2"/>
      <c r="FX10" s="2"/>
      <c r="FY10" s="2"/>
      <c r="FZ10" s="2"/>
      <c r="GA10" s="280"/>
      <c r="GB10" s="280"/>
      <c r="GC10" s="2"/>
      <c r="GD10" s="2"/>
      <c r="GE10" s="2"/>
      <c r="GF10" s="2"/>
      <c r="GG10" s="280"/>
      <c r="GH10" s="280"/>
      <c r="GI10" s="2"/>
      <c r="GJ10" s="2"/>
      <c r="GK10" s="2"/>
      <c r="GL10" s="2"/>
      <c r="GM10" s="280"/>
      <c r="GN10" s="280"/>
      <c r="GO10" s="2"/>
      <c r="GP10" s="2"/>
      <c r="GQ10" s="2"/>
      <c r="GR10" s="2"/>
      <c r="GS10" s="280"/>
      <c r="GT10" s="280"/>
      <c r="GU10" s="2"/>
      <c r="GV10" s="2"/>
      <c r="GW10" s="2"/>
      <c r="GX10" s="2"/>
      <c r="GY10" s="280"/>
      <c r="GZ10" s="280"/>
      <c r="HA10" s="2"/>
      <c r="HB10" s="2"/>
      <c r="HC10" s="2"/>
      <c r="HD10" s="2"/>
      <c r="HE10" s="280"/>
      <c r="HF10" s="280"/>
      <c r="HG10" s="2"/>
      <c r="HH10" s="2"/>
      <c r="HI10" s="2"/>
      <c r="HJ10" s="2"/>
    </row>
    <row r="11" spans="1:218" ht="12.9" customHeight="1" x14ac:dyDescent="0.2">
      <c r="A11" s="10" t="str">
        <f>+'Past Quartets 1st - 3rd Place'!A11</f>
        <v>1981</v>
      </c>
      <c r="B11" s="503">
        <f>+'Past Quartets 1st - 3rd Place'!B11</f>
        <v>31</v>
      </c>
      <c r="C11" s="280" t="s">
        <v>1527</v>
      </c>
      <c r="D11" s="197" t="s">
        <v>2041</v>
      </c>
      <c r="E11" s="2" t="s">
        <v>1529</v>
      </c>
      <c r="F11" s="2" t="s">
        <v>1458</v>
      </c>
      <c r="G11" s="2" t="s">
        <v>3543</v>
      </c>
      <c r="H11" s="3" t="s">
        <v>2457</v>
      </c>
      <c r="I11" s="197" t="s">
        <v>3681</v>
      </c>
      <c r="J11" s="197" t="s">
        <v>130</v>
      </c>
      <c r="K11" s="2" t="s">
        <v>2739</v>
      </c>
      <c r="L11" s="2" t="s">
        <v>4258</v>
      </c>
      <c r="M11" s="2" t="s">
        <v>701</v>
      </c>
      <c r="N11" s="2" t="s">
        <v>4259</v>
      </c>
      <c r="O11" s="197" t="s">
        <v>554</v>
      </c>
      <c r="P11" s="245" t="s">
        <v>4230</v>
      </c>
      <c r="Q11" s="2" t="s">
        <v>556</v>
      </c>
      <c r="R11" s="2" t="s">
        <v>557</v>
      </c>
      <c r="S11" s="2" t="s">
        <v>1974</v>
      </c>
      <c r="T11" s="3" t="s">
        <v>559</v>
      </c>
      <c r="U11" s="197" t="s">
        <v>2792</v>
      </c>
      <c r="V11" s="197" t="s">
        <v>517</v>
      </c>
      <c r="W11" s="1" t="s">
        <v>2793</v>
      </c>
      <c r="X11" s="1" t="s">
        <v>2270</v>
      </c>
      <c r="Y11" s="1" t="s">
        <v>2794</v>
      </c>
      <c r="Z11" s="1" t="s">
        <v>2795</v>
      </c>
      <c r="AA11" s="197" t="s">
        <v>15</v>
      </c>
      <c r="AB11" s="245" t="s">
        <v>849</v>
      </c>
      <c r="AC11" s="1" t="s">
        <v>1719</v>
      </c>
      <c r="AD11" s="1" t="s">
        <v>690</v>
      </c>
      <c r="AE11" s="1" t="s">
        <v>852</v>
      </c>
      <c r="AF11" s="1" t="s">
        <v>2193</v>
      </c>
      <c r="AG11" s="405" t="s">
        <v>20</v>
      </c>
      <c r="AH11" s="197" t="s">
        <v>49</v>
      </c>
      <c r="AI11" s="2" t="s">
        <v>865</v>
      </c>
      <c r="AJ11" s="2" t="s">
        <v>704</v>
      </c>
      <c r="AK11" s="2" t="s">
        <v>4068</v>
      </c>
      <c r="AL11" s="3" t="s">
        <v>692</v>
      </c>
      <c r="AM11" s="197" t="s">
        <v>2464</v>
      </c>
      <c r="AN11" s="197" t="s">
        <v>4249</v>
      </c>
      <c r="AO11" s="2" t="s">
        <v>2465</v>
      </c>
      <c r="AP11" s="2" t="s">
        <v>3685</v>
      </c>
      <c r="AQ11" s="2" t="s">
        <v>1519</v>
      </c>
      <c r="AR11" s="1" t="s">
        <v>1520</v>
      </c>
      <c r="AS11" s="405" t="s">
        <v>19</v>
      </c>
      <c r="AT11" s="468" t="s">
        <v>3865</v>
      </c>
      <c r="AU11" s="419" t="s">
        <v>1751</v>
      </c>
      <c r="AV11" s="419" t="s">
        <v>1752</v>
      </c>
      <c r="AW11" s="419" t="s">
        <v>1753</v>
      </c>
      <c r="AX11" s="419" t="s">
        <v>1754</v>
      </c>
      <c r="AY11" s="405" t="s">
        <v>21</v>
      </c>
      <c r="AZ11" s="245" t="s">
        <v>4177</v>
      </c>
      <c r="BA11" s="1" t="s">
        <v>4178</v>
      </c>
      <c r="BB11" s="1" t="s">
        <v>4031</v>
      </c>
      <c r="BC11" s="1" t="s">
        <v>4032</v>
      </c>
      <c r="BD11" s="3" t="s">
        <v>2786</v>
      </c>
      <c r="BE11" s="405"/>
      <c r="BF11" s="197"/>
      <c r="BG11" s="2"/>
      <c r="BH11" s="2"/>
      <c r="BI11" s="2"/>
      <c r="BJ11" s="3"/>
      <c r="BK11" s="405"/>
      <c r="BL11" s="197"/>
      <c r="BM11" s="2"/>
      <c r="BN11" s="2"/>
      <c r="BO11" s="2"/>
      <c r="BP11" s="2"/>
      <c r="BQ11" s="405"/>
      <c r="BR11" s="197"/>
      <c r="BS11" s="2"/>
      <c r="BT11" s="2"/>
      <c r="BU11" s="2"/>
      <c r="BV11" s="3"/>
      <c r="BW11" s="197"/>
      <c r="BX11" s="197"/>
      <c r="BY11" s="2"/>
      <c r="BZ11" s="2"/>
      <c r="CA11" s="2"/>
      <c r="CB11" s="3"/>
      <c r="CC11" s="405"/>
      <c r="CD11" s="197"/>
      <c r="CE11" s="2"/>
      <c r="CF11" s="2"/>
      <c r="CG11" s="2"/>
      <c r="CH11" s="3"/>
      <c r="CI11" s="405"/>
      <c r="CJ11" s="197"/>
      <c r="CK11" s="2"/>
      <c r="CL11" s="2"/>
      <c r="CM11" s="2"/>
      <c r="CN11" s="3"/>
      <c r="CO11" s="405"/>
      <c r="CP11" s="197"/>
      <c r="CQ11" s="2"/>
      <c r="CR11" s="2"/>
      <c r="CS11" s="2"/>
      <c r="CT11" s="3"/>
      <c r="CU11" s="280"/>
      <c r="CV11" s="280"/>
      <c r="CW11" s="2"/>
      <c r="CX11" s="2"/>
      <c r="CY11" s="2"/>
      <c r="CZ11" s="2"/>
      <c r="DA11" s="280"/>
      <c r="DB11" s="280"/>
      <c r="DC11" s="2"/>
      <c r="DD11" s="2"/>
      <c r="DE11" s="2"/>
      <c r="DF11" s="2"/>
      <c r="DG11" s="280"/>
      <c r="DH11" s="280"/>
      <c r="DI11" s="2"/>
      <c r="DJ11" s="2"/>
      <c r="DK11" s="2"/>
      <c r="DL11" s="2"/>
      <c r="DM11" s="280"/>
      <c r="DN11" s="280"/>
      <c r="DO11" s="2"/>
      <c r="DP11" s="2"/>
      <c r="DQ11" s="2"/>
      <c r="DR11" s="2"/>
      <c r="DS11" s="280"/>
      <c r="DT11" s="280"/>
      <c r="DU11" s="2"/>
      <c r="DV11" s="2"/>
      <c r="DW11" s="2"/>
      <c r="DX11" s="2"/>
      <c r="DY11" s="280"/>
      <c r="DZ11" s="280"/>
      <c r="EA11" s="2"/>
      <c r="EB11" s="2"/>
      <c r="EC11" s="2"/>
      <c r="ED11" s="2"/>
      <c r="EE11" s="280"/>
      <c r="EF11" s="280"/>
      <c r="EG11" s="2"/>
      <c r="EH11" s="2"/>
      <c r="EI11" s="2"/>
      <c r="EJ11" s="2"/>
      <c r="EK11" s="280"/>
      <c r="EL11" s="280"/>
      <c r="EM11" s="2"/>
      <c r="EN11" s="2"/>
      <c r="EO11" s="2"/>
      <c r="EP11" s="2"/>
      <c r="EQ11" s="280"/>
      <c r="ER11" s="280"/>
      <c r="ES11" s="2"/>
      <c r="ET11" s="2"/>
      <c r="EU11" s="2"/>
      <c r="EV11" s="2"/>
      <c r="EW11" s="280"/>
      <c r="EX11" s="280"/>
      <c r="EY11" s="2"/>
      <c r="EZ11" s="2"/>
      <c r="FA11" s="2"/>
      <c r="FB11" s="2"/>
      <c r="FC11" s="280"/>
      <c r="FD11" s="280"/>
      <c r="FE11" s="2"/>
      <c r="FF11" s="2"/>
      <c r="FG11" s="2"/>
      <c r="FH11" s="2"/>
      <c r="FI11" s="280"/>
      <c r="FJ11" s="280"/>
      <c r="FK11" s="2"/>
      <c r="FL11" s="2"/>
      <c r="FM11" s="2"/>
      <c r="FN11" s="2"/>
      <c r="FO11" s="280"/>
      <c r="FP11" s="280"/>
      <c r="FQ11" s="2"/>
      <c r="FR11" s="2"/>
      <c r="FS11" s="2"/>
      <c r="FT11" s="2"/>
      <c r="FU11" s="280"/>
      <c r="FV11" s="280"/>
      <c r="FW11" s="2"/>
      <c r="FX11" s="2"/>
      <c r="FY11" s="2"/>
      <c r="FZ11" s="2"/>
      <c r="GA11" s="280"/>
      <c r="GB11" s="280"/>
      <c r="GC11" s="2"/>
      <c r="GD11" s="2"/>
      <c r="GE11" s="2"/>
      <c r="GF11" s="2"/>
      <c r="GG11" s="280"/>
      <c r="GH11" s="280"/>
      <c r="GI11" s="2"/>
      <c r="GJ11" s="2"/>
      <c r="GK11" s="2"/>
      <c r="GL11" s="2"/>
      <c r="GM11" s="280"/>
      <c r="GN11" s="280"/>
      <c r="GO11" s="2"/>
      <c r="GP11" s="2"/>
      <c r="GQ11" s="2"/>
      <c r="GR11" s="2"/>
      <c r="GS11" s="280"/>
      <c r="GT11" s="280"/>
      <c r="GU11" s="2"/>
      <c r="GV11" s="2"/>
      <c r="GW11" s="2"/>
      <c r="GX11" s="2"/>
      <c r="GY11" s="280"/>
      <c r="GZ11" s="280"/>
      <c r="HA11" s="2"/>
      <c r="HB11" s="2"/>
      <c r="HC11" s="2"/>
      <c r="HD11" s="2"/>
      <c r="HE11" s="280"/>
      <c r="HF11" s="280"/>
      <c r="HG11" s="2"/>
      <c r="HH11" s="2"/>
      <c r="HI11" s="2"/>
      <c r="HJ11" s="2"/>
    </row>
    <row r="12" spans="1:218" ht="12.9" customHeight="1" x14ac:dyDescent="0.2">
      <c r="A12" s="10" t="str">
        <f>+'Past Quartets 1st - 3rd Place'!A12</f>
        <v>1982</v>
      </c>
      <c r="B12" s="503">
        <f>+'Past Quartets 1st - 3rd Place'!B12</f>
        <v>23</v>
      </c>
      <c r="C12" s="504" t="s">
        <v>15</v>
      </c>
      <c r="D12" s="245" t="s">
        <v>849</v>
      </c>
      <c r="E12" s="1" t="s">
        <v>2194</v>
      </c>
      <c r="F12" s="1" t="s">
        <v>851</v>
      </c>
      <c r="G12" s="1" t="s">
        <v>859</v>
      </c>
      <c r="H12" s="1" t="s">
        <v>690</v>
      </c>
      <c r="I12" s="405" t="s">
        <v>21</v>
      </c>
      <c r="J12" s="245" t="s">
        <v>4177</v>
      </c>
      <c r="K12" s="1" t="s">
        <v>4178</v>
      </c>
      <c r="L12" s="1" t="s">
        <v>4031</v>
      </c>
      <c r="M12" s="1" t="s">
        <v>4032</v>
      </c>
      <c r="N12" s="1" t="s">
        <v>2786</v>
      </c>
      <c r="O12" s="197" t="s">
        <v>3686</v>
      </c>
      <c r="P12" s="197" t="s">
        <v>3526</v>
      </c>
      <c r="Q12" s="1" t="s">
        <v>3527</v>
      </c>
      <c r="R12" s="1" t="s">
        <v>3528</v>
      </c>
      <c r="S12" s="1" t="s">
        <v>219</v>
      </c>
      <c r="T12" s="3" t="s">
        <v>220</v>
      </c>
      <c r="U12" s="197" t="s">
        <v>1527</v>
      </c>
      <c r="V12" s="197" t="s">
        <v>1446</v>
      </c>
      <c r="W12" s="2" t="s">
        <v>1529</v>
      </c>
      <c r="X12" s="2" t="s">
        <v>2456</v>
      </c>
      <c r="Y12" s="2" t="s">
        <v>3543</v>
      </c>
      <c r="Z12" s="3" t="s">
        <v>2457</v>
      </c>
      <c r="AA12" s="197" t="s">
        <v>3415</v>
      </c>
      <c r="AB12" s="245" t="s">
        <v>4249</v>
      </c>
      <c r="AC12" s="1" t="s">
        <v>1518</v>
      </c>
      <c r="AD12" s="1" t="s">
        <v>3685</v>
      </c>
      <c r="AE12" s="1" t="s">
        <v>1519</v>
      </c>
      <c r="AF12" s="1" t="s">
        <v>1520</v>
      </c>
      <c r="AG12" s="405" t="s">
        <v>3400</v>
      </c>
      <c r="AH12" s="197" t="s">
        <v>2804</v>
      </c>
      <c r="AI12" s="419" t="s">
        <v>145</v>
      </c>
      <c r="AJ12" s="419" t="s">
        <v>290</v>
      </c>
      <c r="AK12" s="419" t="s">
        <v>1615</v>
      </c>
      <c r="AL12" s="479" t="s">
        <v>857</v>
      </c>
      <c r="AM12" s="197" t="s">
        <v>394</v>
      </c>
      <c r="AN12" s="197" t="s">
        <v>517</v>
      </c>
      <c r="AO12" s="419" t="s">
        <v>4185</v>
      </c>
      <c r="AP12" s="419" t="s">
        <v>1696</v>
      </c>
      <c r="AQ12" s="419" t="s">
        <v>1697</v>
      </c>
      <c r="AR12" s="419" t="s">
        <v>3248</v>
      </c>
      <c r="AS12" s="245" t="s">
        <v>3529</v>
      </c>
      <c r="AT12" s="245" t="s">
        <v>2041</v>
      </c>
      <c r="AU12" s="2" t="s">
        <v>3535</v>
      </c>
      <c r="AV12" s="2" t="s">
        <v>3536</v>
      </c>
      <c r="AW12" s="2" t="s">
        <v>3194</v>
      </c>
      <c r="AX12" s="3" t="s">
        <v>3538</v>
      </c>
      <c r="AY12" s="405" t="s">
        <v>23</v>
      </c>
      <c r="AZ12" s="197" t="s">
        <v>4075</v>
      </c>
      <c r="BA12" s="2" t="s">
        <v>416</v>
      </c>
      <c r="BB12" s="2" t="s">
        <v>3262</v>
      </c>
      <c r="BC12" s="2" t="s">
        <v>808</v>
      </c>
      <c r="BD12" s="3" t="s">
        <v>3263</v>
      </c>
      <c r="BE12" s="197" t="s">
        <v>22</v>
      </c>
      <c r="BF12" s="197" t="s">
        <v>2272</v>
      </c>
      <c r="BG12" s="2" t="s">
        <v>1880</v>
      </c>
      <c r="BH12" s="2" t="s">
        <v>2345</v>
      </c>
      <c r="BI12" s="2" t="s">
        <v>276</v>
      </c>
      <c r="BJ12" s="3" t="s">
        <v>2466</v>
      </c>
      <c r="BK12" s="405"/>
      <c r="BL12" s="197"/>
      <c r="BQ12" s="405"/>
      <c r="BR12" s="197"/>
      <c r="BS12" s="2"/>
      <c r="BT12" s="2"/>
      <c r="BU12" s="2"/>
      <c r="BV12" s="3"/>
      <c r="BW12" s="197"/>
      <c r="BX12" s="197"/>
      <c r="BY12" s="2"/>
      <c r="BZ12" s="2"/>
      <c r="CA12" s="2"/>
      <c r="CB12" s="3"/>
      <c r="CC12" s="197"/>
      <c r="CD12" s="197"/>
      <c r="CH12" s="3"/>
      <c r="CI12" s="405"/>
      <c r="CJ12" s="197"/>
      <c r="CN12" s="3"/>
      <c r="CO12" s="405"/>
      <c r="CP12" s="197"/>
      <c r="CQ12" s="2"/>
      <c r="CR12" s="2"/>
      <c r="CS12" s="2"/>
      <c r="CT12" s="3"/>
      <c r="CU12" s="280"/>
      <c r="CV12" s="280"/>
      <c r="CW12" s="2"/>
      <c r="CX12" s="2"/>
      <c r="CY12" s="2"/>
      <c r="CZ12" s="2"/>
      <c r="DA12" s="280"/>
      <c r="DB12" s="280"/>
      <c r="DC12" s="2"/>
      <c r="DD12" s="2"/>
      <c r="DE12" s="2"/>
      <c r="DF12" s="2"/>
      <c r="DG12" s="280"/>
      <c r="DH12" s="280"/>
      <c r="DI12" s="2"/>
      <c r="DJ12" s="2"/>
      <c r="DK12" s="2"/>
      <c r="DL12" s="2"/>
      <c r="DM12" s="280"/>
      <c r="DN12" s="280"/>
      <c r="DO12" s="2"/>
      <c r="DP12" s="2"/>
      <c r="DQ12" s="2"/>
      <c r="DR12" s="2"/>
      <c r="DS12" s="280"/>
      <c r="DT12" s="280"/>
      <c r="DU12" s="2"/>
      <c r="DV12" s="2"/>
      <c r="DW12" s="2"/>
      <c r="DX12" s="2"/>
      <c r="DY12" s="280"/>
      <c r="DZ12" s="280"/>
      <c r="EA12" s="2"/>
      <c r="EB12" s="2"/>
      <c r="EC12" s="2"/>
      <c r="ED12" s="2"/>
      <c r="EE12" s="280"/>
      <c r="EF12" s="280"/>
      <c r="EG12" s="2"/>
      <c r="EH12" s="2"/>
      <c r="EI12" s="2"/>
      <c r="EJ12" s="2"/>
      <c r="EK12" s="280"/>
      <c r="EL12" s="280"/>
      <c r="EM12" s="2"/>
      <c r="EN12" s="2"/>
      <c r="EO12" s="2"/>
      <c r="EP12" s="2"/>
      <c r="EQ12" s="280"/>
      <c r="ER12" s="280"/>
      <c r="ES12" s="2"/>
      <c r="ET12" s="2"/>
      <c r="EU12" s="2"/>
      <c r="EV12" s="2"/>
      <c r="EW12" s="280"/>
      <c r="EX12" s="280"/>
      <c r="EY12" s="2"/>
      <c r="EZ12" s="2"/>
      <c r="FA12" s="2"/>
      <c r="FB12" s="2"/>
      <c r="FC12" s="280"/>
      <c r="FD12" s="280"/>
      <c r="FE12" s="2"/>
      <c r="FF12" s="2"/>
      <c r="FG12" s="2"/>
      <c r="FH12" s="2"/>
      <c r="FI12" s="280"/>
      <c r="FJ12" s="280"/>
      <c r="FK12" s="2"/>
      <c r="FL12" s="2"/>
      <c r="FM12" s="2"/>
      <c r="FN12" s="2"/>
      <c r="FO12" s="280"/>
      <c r="FP12" s="280"/>
      <c r="FQ12" s="2"/>
      <c r="FR12" s="2"/>
      <c r="FS12" s="2"/>
      <c r="FT12" s="2"/>
      <c r="FU12" s="280"/>
      <c r="FV12" s="280"/>
      <c r="FW12" s="2"/>
      <c r="FX12" s="2"/>
      <c r="FY12" s="2"/>
      <c r="FZ12" s="2"/>
      <c r="GA12" s="280"/>
      <c r="GB12" s="280"/>
      <c r="GC12" s="2"/>
      <c r="GD12" s="2"/>
      <c r="GE12" s="2"/>
      <c r="GF12" s="2"/>
      <c r="GG12" s="280"/>
      <c r="GH12" s="280"/>
      <c r="GI12" s="2"/>
      <c r="GJ12" s="2"/>
      <c r="GK12" s="2"/>
      <c r="GL12" s="2"/>
      <c r="GM12" s="280"/>
      <c r="GN12" s="280"/>
      <c r="GO12" s="2"/>
      <c r="GP12" s="2"/>
      <c r="GQ12" s="2"/>
      <c r="GR12" s="2"/>
      <c r="GS12" s="280"/>
      <c r="GT12" s="280"/>
      <c r="GU12" s="2"/>
      <c r="GV12" s="2"/>
      <c r="GW12" s="2"/>
      <c r="GX12" s="2"/>
      <c r="GY12" s="280"/>
      <c r="GZ12" s="280"/>
      <c r="HA12" s="2"/>
      <c r="HB12" s="2"/>
      <c r="HC12" s="2"/>
      <c r="HD12" s="2"/>
      <c r="HE12" s="280"/>
      <c r="HF12" s="280"/>
      <c r="HG12" s="2"/>
      <c r="HH12" s="2"/>
      <c r="HI12" s="2"/>
      <c r="HJ12" s="2"/>
    </row>
    <row r="13" spans="1:218" ht="12.9" customHeight="1" x14ac:dyDescent="0.2">
      <c r="A13" s="10" t="str">
        <f>+'Past Quartets 1st - 3rd Place'!A13</f>
        <v>1983</v>
      </c>
      <c r="B13" s="503">
        <f>+'Past Quartets 1st - 3rd Place'!B13</f>
        <v>25</v>
      </c>
      <c r="C13" s="504" t="s">
        <v>2787</v>
      </c>
      <c r="D13" s="245" t="s">
        <v>2272</v>
      </c>
      <c r="E13" s="2" t="s">
        <v>3387</v>
      </c>
      <c r="F13" s="2" t="s">
        <v>3395</v>
      </c>
      <c r="G13" s="2" t="s">
        <v>3396</v>
      </c>
      <c r="H13" s="3" t="s">
        <v>297</v>
      </c>
      <c r="I13" s="197" t="s">
        <v>1527</v>
      </c>
      <c r="J13" s="197" t="s">
        <v>1446</v>
      </c>
      <c r="K13" s="2" t="s">
        <v>1529</v>
      </c>
      <c r="L13" s="2" t="s">
        <v>2456</v>
      </c>
      <c r="M13" s="2" t="s">
        <v>3543</v>
      </c>
      <c r="N13" s="3" t="s">
        <v>2457</v>
      </c>
      <c r="O13" s="405" t="s">
        <v>15</v>
      </c>
      <c r="P13" s="197" t="s">
        <v>849</v>
      </c>
      <c r="Q13" s="2" t="s">
        <v>850</v>
      </c>
      <c r="R13" s="2" t="s">
        <v>851</v>
      </c>
      <c r="S13" s="2" t="s">
        <v>859</v>
      </c>
      <c r="T13" s="3" t="s">
        <v>690</v>
      </c>
      <c r="U13" s="197" t="s">
        <v>3415</v>
      </c>
      <c r="V13" s="245" t="s">
        <v>4249</v>
      </c>
      <c r="W13" s="1" t="s">
        <v>1518</v>
      </c>
      <c r="X13" s="1" t="s">
        <v>3685</v>
      </c>
      <c r="Y13" s="1" t="s">
        <v>1519</v>
      </c>
      <c r="Z13" s="1" t="s">
        <v>1520</v>
      </c>
      <c r="AA13" s="197" t="s">
        <v>792</v>
      </c>
      <c r="AB13" s="197" t="s">
        <v>1860</v>
      </c>
      <c r="AC13" s="1" t="s">
        <v>1861</v>
      </c>
      <c r="AD13" s="1" t="s">
        <v>1862</v>
      </c>
      <c r="AE13" s="1" t="s">
        <v>1863</v>
      </c>
      <c r="AF13" s="1" t="s">
        <v>794</v>
      </c>
      <c r="AG13" s="405" t="s">
        <v>3686</v>
      </c>
      <c r="AH13" s="197" t="s">
        <v>3526</v>
      </c>
      <c r="AI13" s="2" t="s">
        <v>3527</v>
      </c>
      <c r="AJ13" s="2" t="s">
        <v>3528</v>
      </c>
      <c r="AK13" s="2" t="s">
        <v>219</v>
      </c>
      <c r="AL13" s="3" t="s">
        <v>220</v>
      </c>
      <c r="AM13" s="197" t="s">
        <v>4040</v>
      </c>
      <c r="AN13" s="197" t="s">
        <v>4041</v>
      </c>
      <c r="AO13" s="1" t="s">
        <v>4043</v>
      </c>
      <c r="AP13" s="1" t="s">
        <v>790</v>
      </c>
      <c r="AQ13" s="1" t="s">
        <v>791</v>
      </c>
      <c r="AR13" s="1" t="s">
        <v>739</v>
      </c>
      <c r="AS13" s="197" t="s">
        <v>395</v>
      </c>
      <c r="AT13" s="197" t="s">
        <v>517</v>
      </c>
      <c r="AU13" s="1" t="s">
        <v>740</v>
      </c>
      <c r="AV13" s="1" t="s">
        <v>741</v>
      </c>
      <c r="AW13" s="1" t="s">
        <v>742</v>
      </c>
      <c r="AX13" s="1" t="s">
        <v>743</v>
      </c>
      <c r="AY13" s="245" t="s">
        <v>3529</v>
      </c>
      <c r="AZ13" s="245" t="s">
        <v>2041</v>
      </c>
      <c r="BA13" s="2" t="s">
        <v>3535</v>
      </c>
      <c r="BB13" s="2" t="s">
        <v>3536</v>
      </c>
      <c r="BC13" s="2" t="s">
        <v>3194</v>
      </c>
      <c r="BD13" s="3" t="s">
        <v>3538</v>
      </c>
      <c r="BE13" s="197" t="s">
        <v>396</v>
      </c>
      <c r="BF13" s="197" t="s">
        <v>3433</v>
      </c>
      <c r="BG13" s="1" t="s">
        <v>3674</v>
      </c>
      <c r="BH13" s="1" t="s">
        <v>2812</v>
      </c>
      <c r="BI13" s="1" t="s">
        <v>744</v>
      </c>
      <c r="BJ13" s="1" t="s">
        <v>745</v>
      </c>
      <c r="BK13" s="197"/>
      <c r="BL13" s="197"/>
      <c r="BQ13" s="405"/>
      <c r="BR13" s="197"/>
      <c r="BS13" s="2"/>
      <c r="BT13" s="2"/>
      <c r="BU13" s="2"/>
      <c r="BV13" s="3"/>
      <c r="BW13" s="197"/>
      <c r="BX13" s="197"/>
      <c r="BY13" s="2"/>
      <c r="BZ13" s="2"/>
      <c r="CA13" s="2"/>
      <c r="CB13" s="3"/>
      <c r="CC13" s="197"/>
      <c r="CD13" s="197"/>
      <c r="CI13" s="197"/>
      <c r="CJ13" s="197"/>
      <c r="CN13" s="3"/>
      <c r="CO13" s="405"/>
      <c r="CP13" s="197"/>
      <c r="CQ13" s="2"/>
      <c r="CR13" s="2"/>
      <c r="CS13" s="2"/>
      <c r="CT13" s="3"/>
      <c r="CU13" s="280"/>
      <c r="CV13" s="280"/>
      <c r="CW13" s="2"/>
      <c r="CX13" s="2"/>
      <c r="CY13" s="2"/>
      <c r="CZ13" s="2"/>
      <c r="DA13" s="280"/>
      <c r="DB13" s="280"/>
      <c r="DC13" s="2"/>
      <c r="DD13" s="2"/>
      <c r="DE13" s="2"/>
      <c r="DF13" s="2"/>
      <c r="DG13" s="280"/>
      <c r="DH13" s="280"/>
      <c r="DI13" s="2"/>
      <c r="DJ13" s="2"/>
      <c r="DK13" s="2"/>
      <c r="DL13" s="2"/>
      <c r="DM13" s="280"/>
      <c r="DN13" s="280"/>
      <c r="DO13" s="2"/>
      <c r="DP13" s="2"/>
      <c r="DQ13" s="2"/>
      <c r="DR13" s="2"/>
      <c r="DS13" s="280"/>
      <c r="DT13" s="280"/>
      <c r="DU13" s="2"/>
      <c r="DV13" s="2"/>
      <c r="DW13" s="2"/>
      <c r="DX13" s="2"/>
      <c r="DY13" s="280"/>
      <c r="DZ13" s="280"/>
      <c r="EA13" s="2"/>
      <c r="EB13" s="2"/>
      <c r="EC13" s="2"/>
      <c r="ED13" s="2"/>
      <c r="EE13" s="280"/>
      <c r="EF13" s="280"/>
      <c r="EG13" s="2"/>
      <c r="EH13" s="2"/>
      <c r="EI13" s="2"/>
      <c r="EJ13" s="2"/>
      <c r="EK13" s="280"/>
      <c r="EL13" s="280"/>
      <c r="EM13" s="2"/>
      <c r="EN13" s="2"/>
      <c r="EO13" s="2"/>
      <c r="EP13" s="2"/>
      <c r="EQ13" s="280"/>
      <c r="ER13" s="280"/>
      <c r="ES13" s="2"/>
      <c r="ET13" s="2"/>
      <c r="EU13" s="2"/>
      <c r="EV13" s="2"/>
      <c r="EW13" s="280"/>
      <c r="EX13" s="280"/>
      <c r="EY13" s="2"/>
      <c r="EZ13" s="2"/>
      <c r="FA13" s="2"/>
      <c r="FB13" s="2"/>
      <c r="FC13" s="280"/>
      <c r="FD13" s="280"/>
      <c r="FE13" s="2"/>
      <c r="FF13" s="2"/>
      <c r="FG13" s="2"/>
      <c r="FH13" s="2"/>
      <c r="FI13" s="280"/>
      <c r="FJ13" s="280"/>
      <c r="FK13" s="2"/>
      <c r="FL13" s="2"/>
      <c r="FM13" s="2"/>
      <c r="FN13" s="2"/>
      <c r="FO13" s="280"/>
      <c r="FP13" s="280"/>
      <c r="FQ13" s="2"/>
      <c r="FR13" s="2"/>
      <c r="FS13" s="2"/>
      <c r="FT13" s="2"/>
      <c r="FU13" s="280"/>
      <c r="FV13" s="280"/>
      <c r="FW13" s="2"/>
      <c r="FX13" s="2"/>
      <c r="FY13" s="2"/>
      <c r="FZ13" s="2"/>
      <c r="GA13" s="280"/>
      <c r="GB13" s="280"/>
      <c r="GC13" s="2"/>
      <c r="GD13" s="2"/>
      <c r="GE13" s="2"/>
      <c r="GF13" s="2"/>
      <c r="GG13" s="280"/>
      <c r="GH13" s="280"/>
      <c r="GI13" s="2"/>
      <c r="GJ13" s="2"/>
      <c r="GK13" s="2"/>
      <c r="GL13" s="2"/>
      <c r="GM13" s="280"/>
      <c r="GN13" s="280"/>
      <c r="GO13" s="2"/>
      <c r="GP13" s="2"/>
      <c r="GQ13" s="2"/>
      <c r="GR13" s="2"/>
      <c r="GS13" s="280"/>
      <c r="GT13" s="280"/>
      <c r="GU13" s="2"/>
      <c r="GV13" s="2"/>
      <c r="GW13" s="2"/>
      <c r="GX13" s="2"/>
      <c r="GY13" s="280"/>
      <c r="GZ13" s="280"/>
      <c r="HA13" s="2"/>
      <c r="HB13" s="2"/>
      <c r="HC13" s="2"/>
      <c r="HD13" s="2"/>
      <c r="HE13" s="280"/>
      <c r="HF13" s="280"/>
      <c r="HG13" s="2"/>
      <c r="HH13" s="2"/>
      <c r="HI13" s="2"/>
      <c r="HJ13" s="2"/>
    </row>
    <row r="14" spans="1:218" ht="12.9" customHeight="1" x14ac:dyDescent="0.2">
      <c r="A14" s="10" t="str">
        <f>+'Past Quartets 1st - 3rd Place'!A14</f>
        <v>1984</v>
      </c>
      <c r="B14" s="503">
        <f>+'Past Quartets 1st - 3rd Place'!B14</f>
        <v>26</v>
      </c>
      <c r="C14" s="504" t="s">
        <v>655</v>
      </c>
      <c r="D14" s="245" t="s">
        <v>2029</v>
      </c>
      <c r="E14" s="1" t="s">
        <v>420</v>
      </c>
      <c r="F14" s="1" t="s">
        <v>657</v>
      </c>
      <c r="G14" s="1" t="s">
        <v>658</v>
      </c>
      <c r="H14" s="1" t="s">
        <v>659</v>
      </c>
      <c r="I14" s="405" t="s">
        <v>222</v>
      </c>
      <c r="J14" s="245" t="s">
        <v>421</v>
      </c>
      <c r="K14" s="2" t="s">
        <v>223</v>
      </c>
      <c r="L14" s="2" t="s">
        <v>224</v>
      </c>
      <c r="M14" s="2" t="s">
        <v>1071</v>
      </c>
      <c r="N14" s="2" t="s">
        <v>446</v>
      </c>
      <c r="O14" s="197" t="s">
        <v>848</v>
      </c>
      <c r="P14" s="197" t="s">
        <v>858</v>
      </c>
      <c r="Q14" s="2" t="s">
        <v>850</v>
      </c>
      <c r="R14" s="2" t="s">
        <v>851</v>
      </c>
      <c r="S14" s="2" t="s">
        <v>859</v>
      </c>
      <c r="T14" s="3" t="s">
        <v>690</v>
      </c>
      <c r="U14" s="197" t="s">
        <v>3437</v>
      </c>
      <c r="V14" s="197" t="s">
        <v>579</v>
      </c>
      <c r="W14" s="1" t="s">
        <v>746</v>
      </c>
      <c r="X14" s="1" t="s">
        <v>1831</v>
      </c>
      <c r="Y14" s="1" t="s">
        <v>296</v>
      </c>
      <c r="Z14" s="1" t="s">
        <v>297</v>
      </c>
      <c r="AA14" s="405" t="s">
        <v>3439</v>
      </c>
      <c r="AB14" s="197" t="s">
        <v>4177</v>
      </c>
      <c r="AC14" s="2" t="s">
        <v>2472</v>
      </c>
      <c r="AD14" s="2" t="s">
        <v>3924</v>
      </c>
      <c r="AE14" s="2" t="s">
        <v>747</v>
      </c>
      <c r="AF14" s="2" t="s">
        <v>748</v>
      </c>
      <c r="AG14" s="197" t="s">
        <v>2464</v>
      </c>
      <c r="AH14" s="197" t="s">
        <v>4249</v>
      </c>
      <c r="AI14" s="1" t="s">
        <v>1518</v>
      </c>
      <c r="AJ14" s="1" t="s">
        <v>796</v>
      </c>
      <c r="AK14" s="1" t="s">
        <v>1519</v>
      </c>
      <c r="AL14" s="3" t="s">
        <v>1520</v>
      </c>
      <c r="AM14" s="197" t="s">
        <v>14</v>
      </c>
      <c r="AN14" s="197" t="s">
        <v>3526</v>
      </c>
      <c r="AO14" s="1" t="s">
        <v>3094</v>
      </c>
      <c r="AP14" s="1" t="s">
        <v>749</v>
      </c>
      <c r="AQ14" s="1" t="s">
        <v>750</v>
      </c>
      <c r="AR14" s="1" t="s">
        <v>751</v>
      </c>
      <c r="AS14" s="405" t="s">
        <v>3438</v>
      </c>
      <c r="AT14" s="197" t="s">
        <v>579</v>
      </c>
      <c r="AU14" s="1" t="s">
        <v>800</v>
      </c>
      <c r="AV14" s="1" t="s">
        <v>3219</v>
      </c>
      <c r="AW14" s="1" t="s">
        <v>752</v>
      </c>
      <c r="AX14" s="3" t="s">
        <v>753</v>
      </c>
      <c r="AY14" s="197" t="s">
        <v>3435</v>
      </c>
      <c r="AZ14" s="197" t="s">
        <v>130</v>
      </c>
      <c r="BA14" s="1" t="s">
        <v>754</v>
      </c>
      <c r="BB14" s="1" t="s">
        <v>2739</v>
      </c>
      <c r="BC14" s="1" t="s">
        <v>755</v>
      </c>
      <c r="BD14" s="3" t="s">
        <v>2655</v>
      </c>
      <c r="BE14" s="197" t="s">
        <v>3441</v>
      </c>
      <c r="BF14" s="197" t="s">
        <v>861</v>
      </c>
      <c r="BG14" s="1" t="s">
        <v>2085</v>
      </c>
      <c r="BH14" s="1" t="s">
        <v>2086</v>
      </c>
      <c r="BI14" s="1" t="s">
        <v>2087</v>
      </c>
      <c r="BJ14" s="1" t="s">
        <v>764</v>
      </c>
      <c r="BK14" s="405"/>
      <c r="BL14" s="197"/>
      <c r="BM14" s="2"/>
      <c r="BN14" s="2"/>
      <c r="BO14" s="2"/>
      <c r="BP14" s="2"/>
      <c r="BQ14" s="197"/>
      <c r="BR14" s="197"/>
      <c r="BS14" s="1"/>
      <c r="BT14" s="1"/>
      <c r="BU14" s="1"/>
      <c r="BV14" s="3"/>
      <c r="BW14" s="197"/>
      <c r="BX14" s="197"/>
      <c r="BY14" s="1"/>
      <c r="BZ14" s="1"/>
      <c r="CA14" s="1"/>
      <c r="CB14" s="3"/>
      <c r="CC14" s="197"/>
      <c r="CD14" s="197"/>
      <c r="CI14" s="405"/>
      <c r="CJ14" s="197"/>
      <c r="CK14" s="2"/>
      <c r="CL14" s="2"/>
      <c r="CM14" s="2"/>
      <c r="CN14" s="3"/>
      <c r="CO14" s="197"/>
      <c r="CP14" s="197"/>
      <c r="CQ14" s="2"/>
      <c r="CR14" s="2"/>
      <c r="CS14" s="2"/>
      <c r="CT14" s="3"/>
      <c r="CU14" s="280"/>
      <c r="CV14" s="280"/>
      <c r="CW14" s="2"/>
      <c r="CX14" s="2"/>
      <c r="CY14" s="2"/>
      <c r="CZ14" s="2"/>
      <c r="DA14" s="280"/>
      <c r="DB14" s="280"/>
      <c r="DC14" s="2"/>
      <c r="DD14" s="2"/>
      <c r="DE14" s="2"/>
      <c r="DF14" s="2"/>
      <c r="DG14" s="280"/>
      <c r="DH14" s="280"/>
      <c r="DI14" s="2"/>
      <c r="DJ14" s="2"/>
      <c r="DK14" s="2"/>
      <c r="DL14" s="2"/>
      <c r="DM14" s="280"/>
      <c r="DN14" s="280"/>
      <c r="DO14" s="2"/>
      <c r="DP14" s="2"/>
      <c r="DQ14" s="2"/>
      <c r="DR14" s="2"/>
      <c r="DS14" s="280"/>
      <c r="DT14" s="280"/>
      <c r="DU14" s="2"/>
      <c r="DV14" s="2"/>
      <c r="DW14" s="2"/>
      <c r="DX14" s="2"/>
      <c r="DY14" s="280"/>
      <c r="DZ14" s="280"/>
      <c r="EA14" s="2"/>
      <c r="EB14" s="2"/>
      <c r="EC14" s="2"/>
      <c r="ED14" s="2"/>
      <c r="EE14" s="280"/>
      <c r="EF14" s="280"/>
      <c r="EG14" s="2"/>
      <c r="EH14" s="2"/>
      <c r="EI14" s="2"/>
      <c r="EJ14" s="2"/>
      <c r="EK14" s="280"/>
      <c r="EL14" s="280"/>
      <c r="EM14" s="2"/>
      <c r="EN14" s="2"/>
      <c r="EO14" s="2"/>
      <c r="EP14" s="2"/>
      <c r="EQ14" s="280"/>
      <c r="ER14" s="280"/>
      <c r="ES14" s="2"/>
      <c r="ET14" s="2"/>
      <c r="EU14" s="2"/>
      <c r="EV14" s="2"/>
      <c r="EW14" s="280"/>
      <c r="EX14" s="280"/>
      <c r="EY14" s="2"/>
      <c r="EZ14" s="2"/>
      <c r="FA14" s="2"/>
      <c r="FB14" s="2"/>
      <c r="FC14" s="280"/>
      <c r="FD14" s="280"/>
      <c r="FE14" s="2"/>
      <c r="FF14" s="2"/>
      <c r="FG14" s="2"/>
      <c r="FH14" s="2"/>
      <c r="FI14" s="280"/>
      <c r="FJ14" s="280"/>
      <c r="FK14" s="2"/>
      <c r="FL14" s="2"/>
      <c r="FM14" s="2"/>
      <c r="FN14" s="2"/>
      <c r="FO14" s="280"/>
      <c r="FP14" s="280"/>
      <c r="FQ14" s="2"/>
      <c r="FR14" s="2"/>
      <c r="FS14" s="2"/>
      <c r="FT14" s="2"/>
      <c r="FU14" s="280"/>
      <c r="FV14" s="280"/>
      <c r="FW14" s="2"/>
      <c r="FX14" s="2"/>
      <c r="FY14" s="2"/>
      <c r="FZ14" s="2"/>
      <c r="GA14" s="280"/>
      <c r="GB14" s="280"/>
      <c r="GC14" s="2"/>
      <c r="GD14" s="2"/>
      <c r="GE14" s="2"/>
      <c r="GF14" s="2"/>
      <c r="GG14" s="280"/>
      <c r="GH14" s="280"/>
      <c r="GI14" s="2"/>
      <c r="GJ14" s="2"/>
      <c r="GK14" s="2"/>
      <c r="GL14" s="2"/>
      <c r="GM14" s="280"/>
      <c r="GN14" s="280"/>
      <c r="GO14" s="2"/>
      <c r="GP14" s="2"/>
      <c r="GQ14" s="2"/>
      <c r="GR14" s="2"/>
      <c r="GS14" s="280"/>
      <c r="GT14" s="280"/>
      <c r="GU14" s="2"/>
      <c r="GV14" s="2"/>
      <c r="GW14" s="2"/>
      <c r="GX14" s="2"/>
      <c r="GY14" s="280"/>
      <c r="GZ14" s="280"/>
      <c r="HA14" s="2"/>
      <c r="HB14" s="2"/>
      <c r="HC14" s="2"/>
      <c r="HD14" s="2"/>
      <c r="HE14" s="280"/>
      <c r="HF14" s="280"/>
      <c r="HG14" s="2"/>
      <c r="HH14" s="2"/>
      <c r="HI14" s="2"/>
      <c r="HJ14" s="2"/>
    </row>
    <row r="15" spans="1:218" ht="12.9" customHeight="1" x14ac:dyDescent="0.2">
      <c r="A15" s="10" t="str">
        <f>+'Past Quartets 1st - 3rd Place'!A15</f>
        <v>1985</v>
      </c>
      <c r="B15" s="503">
        <f>+'Past Quartets 1st - 3rd Place'!B15</f>
        <v>34</v>
      </c>
      <c r="C15" s="504" t="s">
        <v>1527</v>
      </c>
      <c r="D15" s="197" t="s">
        <v>2041</v>
      </c>
      <c r="E15" s="2" t="s">
        <v>1529</v>
      </c>
      <c r="F15" s="2" t="s">
        <v>2456</v>
      </c>
      <c r="G15" s="2" t="s">
        <v>3543</v>
      </c>
      <c r="H15" s="3" t="s">
        <v>2457</v>
      </c>
      <c r="I15" s="197" t="s">
        <v>3450</v>
      </c>
      <c r="J15" s="197" t="s">
        <v>4249</v>
      </c>
      <c r="K15" s="1" t="s">
        <v>3542</v>
      </c>
      <c r="L15" s="1" t="s">
        <v>227</v>
      </c>
      <c r="M15" s="1" t="s">
        <v>3543</v>
      </c>
      <c r="N15" s="3" t="s">
        <v>228</v>
      </c>
      <c r="O15" s="197" t="s">
        <v>661</v>
      </c>
      <c r="P15" s="245" t="s">
        <v>517</v>
      </c>
      <c r="Q15" s="1" t="s">
        <v>2793</v>
      </c>
      <c r="R15" s="1" t="s">
        <v>662</v>
      </c>
      <c r="S15" s="1" t="s">
        <v>2798</v>
      </c>
      <c r="T15" s="3" t="s">
        <v>586</v>
      </c>
      <c r="U15" s="197" t="s">
        <v>848</v>
      </c>
      <c r="V15" s="197" t="s">
        <v>858</v>
      </c>
      <c r="W15" s="1" t="s">
        <v>850</v>
      </c>
      <c r="X15" s="1" t="s">
        <v>851</v>
      </c>
      <c r="Y15" s="1" t="s">
        <v>859</v>
      </c>
      <c r="Z15" s="1" t="s">
        <v>756</v>
      </c>
      <c r="AA15" s="197" t="s">
        <v>860</v>
      </c>
      <c r="AB15" s="197" t="s">
        <v>861</v>
      </c>
      <c r="AC15" s="1" t="s">
        <v>862</v>
      </c>
      <c r="AD15" s="1" t="s">
        <v>863</v>
      </c>
      <c r="AE15" s="1" t="s">
        <v>864</v>
      </c>
      <c r="AF15" s="3" t="s">
        <v>865</v>
      </c>
      <c r="AG15" s="197" t="s">
        <v>866</v>
      </c>
      <c r="AH15" s="197" t="s">
        <v>49</v>
      </c>
      <c r="AI15" s="2" t="s">
        <v>691</v>
      </c>
      <c r="AJ15" s="2" t="s">
        <v>2705</v>
      </c>
      <c r="AK15" s="2" t="s">
        <v>4068</v>
      </c>
      <c r="AL15" s="3" t="s">
        <v>692</v>
      </c>
      <c r="AM15" s="197" t="s">
        <v>281</v>
      </c>
      <c r="AN15" s="197" t="s">
        <v>757</v>
      </c>
      <c r="AO15" s="1" t="s">
        <v>802</v>
      </c>
      <c r="AP15" s="1" t="s">
        <v>1851</v>
      </c>
      <c r="AQ15" s="1" t="s">
        <v>1852</v>
      </c>
      <c r="AR15" s="1" t="s">
        <v>758</v>
      </c>
      <c r="AS15" s="197" t="s">
        <v>3439</v>
      </c>
      <c r="AT15" s="197" t="s">
        <v>4177</v>
      </c>
      <c r="AU15" s="1" t="s">
        <v>2472</v>
      </c>
      <c r="AV15" s="1" t="s">
        <v>3924</v>
      </c>
      <c r="AW15" s="1" t="s">
        <v>747</v>
      </c>
      <c r="AX15" s="3" t="s">
        <v>748</v>
      </c>
      <c r="AY15" s="197" t="s">
        <v>792</v>
      </c>
      <c r="AZ15" s="197" t="s">
        <v>1860</v>
      </c>
      <c r="BA15" s="2" t="s">
        <v>1861</v>
      </c>
      <c r="BB15" s="2" t="s">
        <v>1862</v>
      </c>
      <c r="BC15" s="2" t="s">
        <v>1863</v>
      </c>
      <c r="BD15" s="3" t="s">
        <v>794</v>
      </c>
      <c r="BE15" s="197" t="s">
        <v>2467</v>
      </c>
      <c r="BF15" s="197" t="s">
        <v>2468</v>
      </c>
      <c r="BG15" s="1" t="s">
        <v>2469</v>
      </c>
      <c r="BH15" s="1" t="s">
        <v>3565</v>
      </c>
      <c r="BI15" s="1" t="s">
        <v>759</v>
      </c>
      <c r="BJ15" s="1" t="s">
        <v>2472</v>
      </c>
      <c r="BK15" s="197"/>
      <c r="BL15" s="197"/>
      <c r="BP15" s="3"/>
      <c r="BQ15" s="197"/>
      <c r="BR15" s="197"/>
      <c r="BS15" s="2"/>
      <c r="BT15" s="2"/>
      <c r="BU15" s="2"/>
      <c r="BV15" s="3"/>
      <c r="BW15" s="197"/>
      <c r="BX15" s="197"/>
      <c r="BY15" s="2"/>
      <c r="BZ15" s="2"/>
      <c r="CA15" s="2"/>
      <c r="CB15" s="3"/>
      <c r="CC15" s="197"/>
      <c r="CD15" s="197"/>
      <c r="CI15" s="197"/>
      <c r="CJ15" s="197"/>
      <c r="CN15" s="3"/>
      <c r="CO15" s="197"/>
      <c r="CP15" s="197"/>
      <c r="CQ15" s="2"/>
      <c r="CR15" s="2"/>
      <c r="CS15" s="2"/>
      <c r="CT15" s="3"/>
      <c r="CU15" s="280"/>
      <c r="CV15" s="280"/>
      <c r="CW15" s="2"/>
      <c r="CX15" s="2"/>
      <c r="CY15" s="2"/>
      <c r="CZ15" s="2"/>
      <c r="DA15" s="280"/>
      <c r="DB15" s="280"/>
      <c r="DC15" s="2"/>
      <c r="DD15" s="2"/>
      <c r="DE15" s="2"/>
      <c r="DF15" s="2"/>
      <c r="DG15" s="280"/>
      <c r="DH15" s="280"/>
      <c r="DI15" s="2"/>
      <c r="DJ15" s="2"/>
      <c r="DK15" s="2"/>
      <c r="DL15" s="2"/>
      <c r="DM15" s="280"/>
      <c r="DN15" s="280"/>
      <c r="DO15" s="2"/>
      <c r="DP15" s="2"/>
      <c r="DQ15" s="2"/>
      <c r="DR15" s="2"/>
      <c r="DS15" s="280"/>
      <c r="DT15" s="280"/>
      <c r="DU15" s="2"/>
      <c r="DV15" s="2"/>
      <c r="DW15" s="2"/>
      <c r="DX15" s="2"/>
      <c r="DY15" s="280"/>
      <c r="DZ15" s="280"/>
      <c r="EA15" s="2"/>
      <c r="EB15" s="2"/>
      <c r="EC15" s="2"/>
      <c r="ED15" s="2"/>
      <c r="EE15" s="280"/>
      <c r="EF15" s="280"/>
      <c r="EG15" s="2"/>
      <c r="EH15" s="2"/>
      <c r="EI15" s="2"/>
      <c r="EJ15" s="2"/>
      <c r="EK15" s="280"/>
      <c r="EL15" s="280"/>
      <c r="EM15" s="2"/>
      <c r="EN15" s="2"/>
      <c r="EO15" s="2"/>
      <c r="EP15" s="2"/>
      <c r="EQ15" s="280"/>
      <c r="ER15" s="280"/>
      <c r="ES15" s="2"/>
      <c r="ET15" s="2"/>
      <c r="EU15" s="2"/>
      <c r="EV15" s="2"/>
      <c r="EW15" s="280"/>
      <c r="EX15" s="280"/>
      <c r="EY15" s="2"/>
      <c r="EZ15" s="2"/>
      <c r="FA15" s="2"/>
      <c r="FB15" s="2"/>
      <c r="FC15" s="280"/>
      <c r="FD15" s="280"/>
      <c r="FE15" s="2"/>
      <c r="FF15" s="2"/>
      <c r="FG15" s="2"/>
      <c r="FH15" s="2"/>
      <c r="FI15" s="280"/>
      <c r="FJ15" s="280"/>
      <c r="FK15" s="2"/>
      <c r="FL15" s="2"/>
      <c r="FM15" s="2"/>
      <c r="FN15" s="2"/>
      <c r="FO15" s="280"/>
      <c r="FP15" s="280"/>
      <c r="FQ15" s="2"/>
      <c r="FR15" s="2"/>
      <c r="FS15" s="2"/>
      <c r="FT15" s="2"/>
      <c r="FU15" s="280"/>
      <c r="FV15" s="280"/>
      <c r="FW15" s="2"/>
      <c r="FX15" s="2"/>
      <c r="FY15" s="2"/>
      <c r="FZ15" s="2"/>
      <c r="GA15" s="280"/>
      <c r="GB15" s="280"/>
      <c r="GC15" s="2"/>
      <c r="GD15" s="2"/>
      <c r="GE15" s="2"/>
      <c r="GF15" s="2"/>
      <c r="GG15" s="280"/>
      <c r="GH15" s="280"/>
      <c r="GI15" s="2"/>
      <c r="GJ15" s="2"/>
      <c r="GK15" s="2"/>
      <c r="GL15" s="2"/>
      <c r="GM15" s="280"/>
      <c r="GN15" s="280"/>
      <c r="GO15" s="2"/>
      <c r="GP15" s="2"/>
      <c r="GQ15" s="2"/>
      <c r="GR15" s="2"/>
      <c r="GS15" s="280"/>
      <c r="GT15" s="280"/>
      <c r="GU15" s="2"/>
      <c r="GV15" s="2"/>
      <c r="GW15" s="2"/>
      <c r="GX15" s="2"/>
      <c r="GY15" s="280"/>
      <c r="GZ15" s="280"/>
      <c r="HA15" s="2"/>
      <c r="HB15" s="2"/>
      <c r="HC15" s="2"/>
      <c r="HD15" s="2"/>
      <c r="HE15" s="280"/>
      <c r="HF15" s="280"/>
      <c r="HG15" s="2"/>
      <c r="HH15" s="2"/>
      <c r="HI15" s="2"/>
      <c r="HJ15" s="2"/>
    </row>
    <row r="16" spans="1:218" ht="12.9" customHeight="1" x14ac:dyDescent="0.2">
      <c r="A16" s="10" t="str">
        <f>+'Past Quartets 1st - 3rd Place'!A16</f>
        <v>1986</v>
      </c>
      <c r="B16" s="503">
        <f>+'Past Quartets 1st - 3rd Place'!B16</f>
        <v>34</v>
      </c>
      <c r="C16" s="504" t="s">
        <v>281</v>
      </c>
      <c r="D16" s="245" t="s">
        <v>28</v>
      </c>
      <c r="E16" s="2" t="s">
        <v>802</v>
      </c>
      <c r="F16" s="2" t="s">
        <v>1851</v>
      </c>
      <c r="G16" s="2" t="s">
        <v>1852</v>
      </c>
      <c r="H16" s="3" t="s">
        <v>758</v>
      </c>
      <c r="I16" s="405" t="s">
        <v>661</v>
      </c>
      <c r="J16" s="245" t="s">
        <v>517</v>
      </c>
      <c r="K16" s="1" t="s">
        <v>2793</v>
      </c>
      <c r="L16" s="1" t="s">
        <v>662</v>
      </c>
      <c r="M16" s="1" t="s">
        <v>2798</v>
      </c>
      <c r="N16" s="3" t="s">
        <v>586</v>
      </c>
      <c r="O16" s="197" t="s">
        <v>230</v>
      </c>
      <c r="P16" s="197" t="s">
        <v>211</v>
      </c>
      <c r="Q16" s="1" t="s">
        <v>231</v>
      </c>
      <c r="R16" s="1" t="s">
        <v>813</v>
      </c>
      <c r="S16" s="1" t="s">
        <v>232</v>
      </c>
      <c r="T16" s="3" t="s">
        <v>3534</v>
      </c>
      <c r="U16" s="197" t="s">
        <v>1527</v>
      </c>
      <c r="V16" s="197" t="s">
        <v>1446</v>
      </c>
      <c r="W16" s="2" t="s">
        <v>1529</v>
      </c>
      <c r="X16" s="2" t="s">
        <v>2456</v>
      </c>
      <c r="Y16" s="2" t="s">
        <v>3543</v>
      </c>
      <c r="Z16" s="3" t="s">
        <v>2457</v>
      </c>
      <c r="AA16" s="405" t="s">
        <v>3415</v>
      </c>
      <c r="AB16" s="197" t="s">
        <v>4249</v>
      </c>
      <c r="AC16" s="2" t="s">
        <v>2465</v>
      </c>
      <c r="AD16" s="2" t="s">
        <v>796</v>
      </c>
      <c r="AE16" s="2" t="s">
        <v>1519</v>
      </c>
      <c r="AF16" s="1" t="s">
        <v>1520</v>
      </c>
      <c r="AG16" s="197" t="s">
        <v>48</v>
      </c>
      <c r="AH16" s="197" t="s">
        <v>49</v>
      </c>
      <c r="AI16" s="1" t="s">
        <v>691</v>
      </c>
      <c r="AJ16" s="1" t="s">
        <v>2705</v>
      </c>
      <c r="AK16" s="1" t="s">
        <v>2706</v>
      </c>
      <c r="AL16" s="3" t="s">
        <v>4068</v>
      </c>
      <c r="AM16" s="197" t="s">
        <v>2557</v>
      </c>
      <c r="AN16" s="197" t="s">
        <v>2041</v>
      </c>
      <c r="AO16" s="1" t="s">
        <v>3535</v>
      </c>
      <c r="AP16" s="1" t="s">
        <v>3536</v>
      </c>
      <c r="AQ16" s="1" t="s">
        <v>3682</v>
      </c>
      <c r="AR16" s="3" t="s">
        <v>760</v>
      </c>
      <c r="AS16" s="405" t="s">
        <v>2558</v>
      </c>
      <c r="AT16" s="197" t="s">
        <v>761</v>
      </c>
      <c r="AU16" s="2" t="s">
        <v>762</v>
      </c>
      <c r="AV16" s="2" t="s">
        <v>3553</v>
      </c>
      <c r="AW16" s="2" t="s">
        <v>270</v>
      </c>
      <c r="AX16" s="1" t="s">
        <v>3555</v>
      </c>
      <c r="AY16" s="197" t="s">
        <v>2467</v>
      </c>
      <c r="AZ16" s="197" t="s">
        <v>2468</v>
      </c>
      <c r="BA16" s="1" t="s">
        <v>2469</v>
      </c>
      <c r="BB16" s="1" t="s">
        <v>3565</v>
      </c>
      <c r="BC16" s="1" t="s">
        <v>2471</v>
      </c>
      <c r="BD16" s="3" t="s">
        <v>2472</v>
      </c>
      <c r="BE16" s="197" t="s">
        <v>860</v>
      </c>
      <c r="BF16" s="197" t="s">
        <v>3292</v>
      </c>
      <c r="BG16" s="1" t="s">
        <v>763</v>
      </c>
      <c r="BH16" s="1" t="s">
        <v>865</v>
      </c>
      <c r="BI16" s="1" t="s">
        <v>864</v>
      </c>
      <c r="BJ16" s="3" t="s">
        <v>764</v>
      </c>
      <c r="BK16" s="405" t="s">
        <v>848</v>
      </c>
      <c r="BL16" s="197" t="s">
        <v>858</v>
      </c>
      <c r="BM16" s="2" t="s">
        <v>765</v>
      </c>
      <c r="BN16" s="2" t="s">
        <v>851</v>
      </c>
      <c r="BO16" s="2" t="s">
        <v>859</v>
      </c>
      <c r="BP16" s="1" t="s">
        <v>690</v>
      </c>
      <c r="BQ16" s="197"/>
      <c r="BR16" s="197"/>
      <c r="BS16" s="1"/>
      <c r="BT16" s="1"/>
      <c r="BU16" s="1"/>
      <c r="BV16" s="3"/>
      <c r="BW16" s="197"/>
      <c r="BX16" s="197"/>
      <c r="BY16" s="1"/>
      <c r="BZ16" s="1"/>
      <c r="CA16" s="1"/>
      <c r="CB16" s="3"/>
      <c r="CC16" s="197"/>
      <c r="CD16" s="197"/>
      <c r="CH16" s="3"/>
      <c r="CI16" s="405"/>
      <c r="CJ16" s="197"/>
      <c r="CK16" s="2"/>
      <c r="CL16" s="2"/>
      <c r="CM16" s="2"/>
      <c r="CN16" s="3"/>
      <c r="CO16" s="197"/>
      <c r="CP16" s="197"/>
      <c r="CQ16" s="2"/>
      <c r="CR16" s="2"/>
      <c r="CS16" s="2"/>
      <c r="CT16" s="3"/>
      <c r="CU16" s="280"/>
      <c r="CV16" s="280"/>
      <c r="CW16" s="2"/>
      <c r="CX16" s="2"/>
      <c r="CY16" s="2"/>
      <c r="CZ16" s="2"/>
      <c r="DA16" s="280"/>
      <c r="DB16" s="280"/>
      <c r="DC16" s="2"/>
      <c r="DD16" s="2"/>
      <c r="DE16" s="2"/>
      <c r="DF16" s="2"/>
      <c r="DG16" s="280"/>
      <c r="DH16" s="280"/>
      <c r="DI16" s="2"/>
      <c r="DJ16" s="2"/>
      <c r="DK16" s="2"/>
      <c r="DL16" s="2"/>
      <c r="DM16" s="280"/>
      <c r="DN16" s="280"/>
      <c r="DO16" s="2"/>
      <c r="DP16" s="2"/>
      <c r="DQ16" s="2"/>
      <c r="DR16" s="2"/>
      <c r="DS16" s="280"/>
      <c r="DT16" s="280"/>
      <c r="DU16" s="2"/>
      <c r="DV16" s="2"/>
      <c r="DW16" s="2"/>
      <c r="DX16" s="2"/>
      <c r="DY16" s="280"/>
      <c r="DZ16" s="280"/>
      <c r="EA16" s="2"/>
      <c r="EB16" s="2"/>
      <c r="EC16" s="2"/>
      <c r="ED16" s="2"/>
      <c r="EE16" s="280"/>
      <c r="EF16" s="280"/>
      <c r="EG16" s="2"/>
      <c r="EH16" s="2"/>
      <c r="EI16" s="2"/>
      <c r="EJ16" s="2"/>
      <c r="EK16" s="280"/>
      <c r="EL16" s="280"/>
      <c r="EM16" s="2"/>
      <c r="EN16" s="2"/>
      <c r="EO16" s="2"/>
      <c r="EP16" s="2"/>
      <c r="EQ16" s="280"/>
      <c r="ER16" s="280"/>
      <c r="ES16" s="2"/>
      <c r="ET16" s="2"/>
      <c r="EU16" s="2"/>
      <c r="EV16" s="2"/>
      <c r="EW16" s="280"/>
      <c r="EX16" s="280"/>
      <c r="EY16" s="2"/>
      <c r="EZ16" s="2"/>
      <c r="FA16" s="2"/>
      <c r="FB16" s="2"/>
      <c r="FC16" s="280"/>
      <c r="FD16" s="280"/>
      <c r="FE16" s="2"/>
      <c r="FF16" s="2"/>
      <c r="FG16" s="2"/>
      <c r="FH16" s="2"/>
      <c r="FI16" s="280"/>
      <c r="FJ16" s="280"/>
      <c r="FK16" s="2"/>
      <c r="FL16" s="2"/>
      <c r="FM16" s="2"/>
      <c r="FN16" s="2"/>
      <c r="FO16" s="280"/>
      <c r="FP16" s="280"/>
      <c r="FQ16" s="2"/>
      <c r="FR16" s="2"/>
      <c r="FS16" s="2"/>
      <c r="FT16" s="2"/>
      <c r="FU16" s="280"/>
      <c r="FV16" s="280"/>
      <c r="FW16" s="2"/>
      <c r="FX16" s="2"/>
      <c r="FY16" s="2"/>
      <c r="FZ16" s="2"/>
      <c r="GA16" s="280"/>
      <c r="GB16" s="280"/>
      <c r="GC16" s="2"/>
      <c r="GD16" s="2"/>
      <c r="GE16" s="2"/>
      <c r="GF16" s="2"/>
      <c r="GG16" s="280"/>
      <c r="GH16" s="280"/>
      <c r="GI16" s="2"/>
      <c r="GJ16" s="2"/>
      <c r="GK16" s="2"/>
      <c r="GL16" s="2"/>
      <c r="GM16" s="280"/>
      <c r="GN16" s="280"/>
      <c r="GO16" s="2"/>
      <c r="GP16" s="2"/>
      <c r="GQ16" s="2"/>
      <c r="GR16" s="2"/>
      <c r="GS16" s="280"/>
      <c r="GT16" s="280"/>
      <c r="GU16" s="2"/>
      <c r="GV16" s="2"/>
      <c r="GW16" s="2"/>
      <c r="GX16" s="2"/>
      <c r="GY16" s="280"/>
      <c r="GZ16" s="280"/>
      <c r="HA16" s="2"/>
      <c r="HB16" s="2"/>
      <c r="HC16" s="2"/>
      <c r="HD16" s="2"/>
      <c r="HE16" s="280"/>
      <c r="HF16" s="280"/>
      <c r="HG16" s="2"/>
      <c r="HH16" s="2"/>
      <c r="HI16" s="2"/>
      <c r="HJ16" s="2"/>
    </row>
    <row r="17" spans="1:218" ht="12.9" customHeight="1" x14ac:dyDescent="0.2">
      <c r="A17" s="10" t="str">
        <f>+'Past Quartets 1st - 3rd Place'!A17</f>
        <v>1987</v>
      </c>
      <c r="B17" s="503">
        <f>+'Past Quartets 1st - 3rd Place'!B17</f>
        <v>33</v>
      </c>
      <c r="C17" s="504" t="s">
        <v>2803</v>
      </c>
      <c r="D17" s="245" t="s">
        <v>2804</v>
      </c>
      <c r="E17" s="2" t="s">
        <v>145</v>
      </c>
      <c r="F17" s="2" t="s">
        <v>290</v>
      </c>
      <c r="G17" s="2" t="s">
        <v>797</v>
      </c>
      <c r="H17" s="2" t="s">
        <v>2817</v>
      </c>
      <c r="I17" s="405" t="s">
        <v>798</v>
      </c>
      <c r="J17" s="245" t="s">
        <v>799</v>
      </c>
      <c r="K17" s="1" t="s">
        <v>800</v>
      </c>
      <c r="L17" s="1" t="s">
        <v>801</v>
      </c>
      <c r="M17" s="1" t="s">
        <v>2144</v>
      </c>
      <c r="N17" s="3" t="s">
        <v>557</v>
      </c>
      <c r="O17" s="405" t="s">
        <v>2467</v>
      </c>
      <c r="P17" s="245" t="s">
        <v>2468</v>
      </c>
      <c r="Q17" s="2" t="s">
        <v>2469</v>
      </c>
      <c r="R17" s="2" t="s">
        <v>3565</v>
      </c>
      <c r="S17" s="2" t="s">
        <v>3236</v>
      </c>
      <c r="T17" s="3" t="s">
        <v>2472</v>
      </c>
      <c r="U17" s="197" t="s">
        <v>2464</v>
      </c>
      <c r="V17" s="504" t="s">
        <v>4249</v>
      </c>
      <c r="W17" s="1" t="s">
        <v>1518</v>
      </c>
      <c r="X17" s="1" t="s">
        <v>796</v>
      </c>
      <c r="Y17" s="1" t="s">
        <v>1519</v>
      </c>
      <c r="Z17" s="3" t="s">
        <v>1520</v>
      </c>
      <c r="AA17" s="405" t="s">
        <v>655</v>
      </c>
      <c r="AB17" s="197" t="s">
        <v>2029</v>
      </c>
      <c r="AC17" s="1" t="s">
        <v>458</v>
      </c>
      <c r="AD17" s="1" t="s">
        <v>657</v>
      </c>
      <c r="AE17" s="1" t="s">
        <v>658</v>
      </c>
      <c r="AF17" s="1" t="s">
        <v>2265</v>
      </c>
      <c r="AG17" s="405" t="s">
        <v>1882</v>
      </c>
      <c r="AH17" s="197" t="s">
        <v>4075</v>
      </c>
      <c r="AI17" s="2" t="s">
        <v>3030</v>
      </c>
      <c r="AJ17" s="2" t="s">
        <v>3819</v>
      </c>
      <c r="AK17" s="2" t="s">
        <v>808</v>
      </c>
      <c r="AL17" s="3" t="s">
        <v>1312</v>
      </c>
      <c r="AM17" s="197" t="s">
        <v>2460</v>
      </c>
      <c r="AN17" s="197" t="s">
        <v>4230</v>
      </c>
      <c r="AO17" s="1" t="s">
        <v>2461</v>
      </c>
      <c r="AP17" s="1" t="s">
        <v>4157</v>
      </c>
      <c r="AQ17" s="1" t="s">
        <v>2462</v>
      </c>
      <c r="AR17" s="3" t="s">
        <v>446</v>
      </c>
      <c r="AS17" s="405" t="s">
        <v>233</v>
      </c>
      <c r="AT17" s="197" t="s">
        <v>3032</v>
      </c>
      <c r="AU17" s="1" t="s">
        <v>585</v>
      </c>
      <c r="AV17" s="1" t="s">
        <v>4083</v>
      </c>
      <c r="AW17" s="1" t="s">
        <v>37</v>
      </c>
      <c r="AX17" s="1" t="s">
        <v>3693</v>
      </c>
      <c r="AY17" s="405" t="s">
        <v>1527</v>
      </c>
      <c r="AZ17" s="197" t="s">
        <v>1528</v>
      </c>
      <c r="BA17" s="2" t="s">
        <v>1529</v>
      </c>
      <c r="BB17" s="1" t="s">
        <v>2418</v>
      </c>
      <c r="BC17" s="2" t="s">
        <v>3543</v>
      </c>
      <c r="BD17" s="3" t="s">
        <v>2457</v>
      </c>
      <c r="BE17" s="197" t="s">
        <v>1871</v>
      </c>
      <c r="BF17" s="197" t="s">
        <v>2662</v>
      </c>
      <c r="BG17" s="2" t="s">
        <v>3246</v>
      </c>
      <c r="BH17" s="2" t="s">
        <v>3247</v>
      </c>
      <c r="BI17" s="2" t="s">
        <v>2665</v>
      </c>
      <c r="BJ17" s="2" t="s">
        <v>2666</v>
      </c>
      <c r="BK17" s="405"/>
      <c r="BL17" s="197"/>
      <c r="BQ17" s="405"/>
      <c r="BR17" s="197"/>
      <c r="BS17" s="2"/>
      <c r="BT17" s="2"/>
      <c r="BU17" s="2"/>
      <c r="BV17" s="3"/>
      <c r="BW17" s="197"/>
      <c r="BX17" s="197"/>
      <c r="BY17" s="2"/>
      <c r="BZ17" s="2"/>
      <c r="CA17" s="2"/>
      <c r="CB17" s="3"/>
      <c r="CC17" s="197"/>
      <c r="CD17" s="197"/>
      <c r="CE17" s="2"/>
      <c r="CF17" s="2"/>
      <c r="CG17" s="2"/>
      <c r="CH17" s="2"/>
      <c r="CI17" s="405"/>
      <c r="CJ17" s="197"/>
      <c r="CN17" s="3"/>
      <c r="CO17" s="405"/>
      <c r="CP17" s="197"/>
      <c r="CQ17" s="2"/>
      <c r="CR17" s="2"/>
      <c r="CS17" s="2"/>
      <c r="CT17" s="3"/>
      <c r="CU17" s="280"/>
      <c r="CV17" s="280"/>
      <c r="CW17" s="2"/>
      <c r="CX17" s="2"/>
      <c r="CY17" s="2"/>
      <c r="CZ17" s="2"/>
      <c r="DA17" s="280"/>
      <c r="DB17" s="280"/>
      <c r="DC17" s="2"/>
      <c r="DD17" s="2"/>
      <c r="DE17" s="2"/>
      <c r="DF17" s="2"/>
      <c r="DG17" s="280"/>
      <c r="DH17" s="280"/>
      <c r="DI17" s="2"/>
      <c r="DJ17" s="2"/>
      <c r="DK17" s="2"/>
      <c r="DL17" s="2"/>
      <c r="DM17" s="280"/>
      <c r="DN17" s="280"/>
      <c r="DO17" s="2"/>
      <c r="DP17" s="2"/>
      <c r="DQ17" s="2"/>
      <c r="DR17" s="2"/>
      <c r="DS17" s="280"/>
      <c r="DT17" s="280"/>
      <c r="DU17" s="2"/>
      <c r="DV17" s="2"/>
      <c r="DW17" s="2"/>
      <c r="DX17" s="2"/>
      <c r="DY17" s="280"/>
      <c r="DZ17" s="280"/>
      <c r="EA17" s="2"/>
      <c r="EB17" s="2"/>
      <c r="EC17" s="2"/>
      <c r="ED17" s="2"/>
      <c r="EE17" s="280"/>
      <c r="EF17" s="280"/>
      <c r="EG17" s="2"/>
      <c r="EH17" s="2"/>
      <c r="EI17" s="2"/>
      <c r="EJ17" s="2"/>
      <c r="EK17" s="280"/>
      <c r="EL17" s="280"/>
      <c r="EM17" s="2"/>
      <c r="EN17" s="2"/>
      <c r="EO17" s="2"/>
      <c r="EP17" s="2"/>
      <c r="EQ17" s="280"/>
      <c r="ER17" s="280"/>
      <c r="ES17" s="2"/>
      <c r="ET17" s="2"/>
      <c r="EU17" s="2"/>
      <c r="EV17" s="2"/>
      <c r="EW17" s="280"/>
      <c r="EX17" s="280"/>
      <c r="EY17" s="2"/>
      <c r="EZ17" s="2"/>
      <c r="FA17" s="2"/>
      <c r="FB17" s="2"/>
      <c r="FC17" s="280"/>
      <c r="FD17" s="280"/>
      <c r="FE17" s="2"/>
      <c r="FF17" s="2"/>
      <c r="FG17" s="2"/>
      <c r="FH17" s="2"/>
      <c r="FI17" s="280"/>
      <c r="FJ17" s="280"/>
      <c r="FK17" s="2"/>
      <c r="FL17" s="2"/>
      <c r="FM17" s="2"/>
      <c r="FN17" s="2"/>
      <c r="FO17" s="280"/>
      <c r="FP17" s="280"/>
      <c r="FQ17" s="2"/>
      <c r="FR17" s="2"/>
      <c r="FS17" s="2"/>
      <c r="FT17" s="2"/>
      <c r="FU17" s="280"/>
      <c r="FV17" s="280"/>
      <c r="FW17" s="2"/>
      <c r="FX17" s="2"/>
      <c r="FY17" s="2"/>
      <c r="FZ17" s="2"/>
      <c r="GA17" s="280"/>
      <c r="GB17" s="280"/>
      <c r="GC17" s="2"/>
      <c r="GD17" s="2"/>
      <c r="GE17" s="2"/>
      <c r="GF17" s="2"/>
      <c r="GG17" s="280"/>
      <c r="GH17" s="280"/>
      <c r="GI17" s="2"/>
      <c r="GJ17" s="2"/>
      <c r="GK17" s="2"/>
      <c r="GL17" s="2"/>
      <c r="GM17" s="280"/>
      <c r="GN17" s="280"/>
      <c r="GO17" s="2"/>
      <c r="GP17" s="2"/>
      <c r="GQ17" s="2"/>
      <c r="GR17" s="2"/>
      <c r="GS17" s="280"/>
      <c r="GT17" s="280"/>
      <c r="GU17" s="2"/>
      <c r="GV17" s="2"/>
      <c r="GW17" s="2"/>
      <c r="GX17" s="2"/>
      <c r="GY17" s="280"/>
      <c r="GZ17" s="280"/>
      <c r="HA17" s="2"/>
      <c r="HB17" s="2"/>
      <c r="HC17" s="2"/>
      <c r="HD17" s="2"/>
      <c r="HE17" s="280"/>
      <c r="HF17" s="280"/>
      <c r="HG17" s="2"/>
      <c r="HH17" s="2"/>
      <c r="HI17" s="2"/>
      <c r="HJ17" s="2"/>
    </row>
    <row r="18" spans="1:218" ht="12.9" customHeight="1" x14ac:dyDescent="0.2">
      <c r="A18" s="10" t="str">
        <f>+'Past Quartets 1st - 3rd Place'!A18</f>
        <v>1988</v>
      </c>
      <c r="B18" s="503">
        <f>+'Past Quartets 1st - 3rd Place'!B18</f>
        <v>36</v>
      </c>
      <c r="C18" s="504" t="s">
        <v>48</v>
      </c>
      <c r="D18" s="245" t="s">
        <v>49</v>
      </c>
      <c r="E18" s="2" t="s">
        <v>458</v>
      </c>
      <c r="F18" s="2" t="s">
        <v>2705</v>
      </c>
      <c r="G18" s="2" t="s">
        <v>2706</v>
      </c>
      <c r="H18" s="2" t="s">
        <v>4068</v>
      </c>
      <c r="I18" s="197" t="s">
        <v>1881</v>
      </c>
      <c r="J18" s="528" t="s">
        <v>2468</v>
      </c>
      <c r="K18" s="1" t="s">
        <v>2469</v>
      </c>
      <c r="L18" s="1" t="s">
        <v>2470</v>
      </c>
      <c r="M18" s="1" t="s">
        <v>3236</v>
      </c>
      <c r="N18" s="3" t="s">
        <v>2472</v>
      </c>
      <c r="O18" s="197" t="s">
        <v>3547</v>
      </c>
      <c r="P18" s="504" t="s">
        <v>855</v>
      </c>
      <c r="Q18" s="1" t="s">
        <v>3548</v>
      </c>
      <c r="R18" s="1" t="s">
        <v>3549</v>
      </c>
      <c r="S18" s="1" t="s">
        <v>3289</v>
      </c>
      <c r="T18" s="3" t="s">
        <v>766</v>
      </c>
      <c r="U18" s="197" t="s">
        <v>4100</v>
      </c>
      <c r="V18" s="197" t="s">
        <v>130</v>
      </c>
      <c r="W18" s="1" t="s">
        <v>767</v>
      </c>
      <c r="X18" s="1" t="s">
        <v>132</v>
      </c>
      <c r="Y18" s="1" t="s">
        <v>133</v>
      </c>
      <c r="Z18" s="1" t="s">
        <v>252</v>
      </c>
      <c r="AA18" s="197" t="s">
        <v>3415</v>
      </c>
      <c r="AB18" s="504" t="s">
        <v>4249</v>
      </c>
      <c r="AC18" s="1" t="s">
        <v>1518</v>
      </c>
      <c r="AD18" s="1" t="s">
        <v>796</v>
      </c>
      <c r="AE18" s="1" t="s">
        <v>1519</v>
      </c>
      <c r="AF18" s="3" t="s">
        <v>1520</v>
      </c>
      <c r="AG18" s="197" t="s">
        <v>3153</v>
      </c>
      <c r="AH18" s="504" t="s">
        <v>2041</v>
      </c>
      <c r="AI18" s="1" t="s">
        <v>3535</v>
      </c>
      <c r="AJ18" s="1" t="s">
        <v>3536</v>
      </c>
      <c r="AK18" s="1" t="s">
        <v>3682</v>
      </c>
      <c r="AL18" s="3" t="s">
        <v>760</v>
      </c>
      <c r="AM18" s="197" t="s">
        <v>2792</v>
      </c>
      <c r="AN18" s="197" t="s">
        <v>517</v>
      </c>
      <c r="AO18" s="1" t="s">
        <v>2793</v>
      </c>
      <c r="AP18" s="1" t="s">
        <v>2270</v>
      </c>
      <c r="AQ18" s="1" t="s">
        <v>2794</v>
      </c>
      <c r="AR18" s="1" t="s">
        <v>768</v>
      </c>
      <c r="AS18" s="197" t="s">
        <v>253</v>
      </c>
      <c r="AT18" s="504" t="s">
        <v>4079</v>
      </c>
      <c r="AU18" s="1" t="s">
        <v>769</v>
      </c>
      <c r="AV18" s="1" t="s">
        <v>166</v>
      </c>
      <c r="AW18" s="1" t="s">
        <v>168</v>
      </c>
      <c r="AX18" s="3" t="s">
        <v>255</v>
      </c>
      <c r="AY18" s="197" t="s">
        <v>399</v>
      </c>
      <c r="AZ18" s="504" t="s">
        <v>3460</v>
      </c>
      <c r="BA18" s="1" t="s">
        <v>735</v>
      </c>
      <c r="BB18" s="1" t="s">
        <v>2159</v>
      </c>
      <c r="BC18" s="1" t="s">
        <v>2154</v>
      </c>
      <c r="BD18" s="3" t="s">
        <v>2155</v>
      </c>
      <c r="BE18" s="197" t="s">
        <v>1896</v>
      </c>
      <c r="BF18" s="197" t="s">
        <v>579</v>
      </c>
      <c r="BG18" s="1" t="s">
        <v>299</v>
      </c>
      <c r="BH18" s="1" t="s">
        <v>3219</v>
      </c>
      <c r="BI18" s="1" t="s">
        <v>3980</v>
      </c>
      <c r="BJ18" s="1" t="s">
        <v>2156</v>
      </c>
      <c r="BK18" s="197"/>
      <c r="BL18" s="504"/>
      <c r="BP18" s="3"/>
      <c r="BQ18" s="197"/>
      <c r="BR18" s="504"/>
      <c r="BS18" s="1"/>
      <c r="BT18" s="1"/>
      <c r="BU18" s="1"/>
      <c r="BV18" s="3"/>
      <c r="BW18" s="197"/>
      <c r="BX18" s="504"/>
      <c r="BY18" s="1"/>
      <c r="BZ18" s="1"/>
      <c r="CA18" s="1"/>
      <c r="CB18" s="3"/>
      <c r="CC18" s="197"/>
      <c r="CD18" s="197"/>
      <c r="CI18" s="197"/>
      <c r="CJ18" s="504"/>
      <c r="CN18" s="3"/>
      <c r="CO18" s="197"/>
      <c r="CP18" s="504"/>
      <c r="CQ18" s="2"/>
      <c r="CR18" s="2"/>
      <c r="CS18" s="2"/>
      <c r="CT18" s="3"/>
      <c r="CU18" s="280"/>
      <c r="CV18" s="280"/>
      <c r="CW18" s="2"/>
      <c r="CX18" s="2"/>
      <c r="CY18" s="2"/>
      <c r="CZ18" s="2"/>
      <c r="DA18" s="280"/>
      <c r="DB18" s="280"/>
      <c r="DC18" s="2"/>
      <c r="DD18" s="2"/>
      <c r="DE18" s="2"/>
      <c r="DF18" s="2"/>
      <c r="DG18" s="280"/>
      <c r="DH18" s="280"/>
      <c r="DI18" s="2"/>
      <c r="DJ18" s="2"/>
      <c r="DK18" s="2"/>
      <c r="DL18" s="2"/>
      <c r="DM18" s="280"/>
      <c r="DN18" s="280"/>
      <c r="DO18" s="2"/>
      <c r="DP18" s="2"/>
      <c r="DQ18" s="2"/>
      <c r="DR18" s="2"/>
      <c r="DS18" s="280"/>
      <c r="DT18" s="280"/>
      <c r="DU18" s="2"/>
      <c r="DV18" s="2"/>
      <c r="DW18" s="2"/>
      <c r="DX18" s="2"/>
      <c r="DY18" s="280"/>
      <c r="DZ18" s="280"/>
      <c r="EA18" s="2"/>
      <c r="EB18" s="2"/>
      <c r="EC18" s="2"/>
      <c r="ED18" s="2"/>
      <c r="EE18" s="280"/>
      <c r="EF18" s="280"/>
      <c r="EG18" s="2"/>
      <c r="EH18" s="2"/>
      <c r="EI18" s="2"/>
      <c r="EJ18" s="2"/>
      <c r="EK18" s="280"/>
      <c r="EL18" s="280"/>
      <c r="EM18" s="2"/>
      <c r="EN18" s="2"/>
      <c r="EO18" s="2"/>
      <c r="EP18" s="2"/>
      <c r="EQ18" s="280"/>
      <c r="ER18" s="280"/>
      <c r="ES18" s="2"/>
      <c r="ET18" s="2"/>
      <c r="EU18" s="2"/>
      <c r="EV18" s="2"/>
      <c r="EW18" s="280"/>
      <c r="EX18" s="280"/>
      <c r="EY18" s="2"/>
      <c r="EZ18" s="2"/>
      <c r="FA18" s="2"/>
      <c r="FB18" s="2"/>
      <c r="FC18" s="280"/>
      <c r="FD18" s="280"/>
      <c r="FE18" s="2"/>
      <c r="FF18" s="2"/>
      <c r="FG18" s="2"/>
      <c r="FH18" s="2"/>
      <c r="FI18" s="280"/>
      <c r="FJ18" s="280"/>
      <c r="FK18" s="2"/>
      <c r="FL18" s="2"/>
      <c r="FM18" s="2"/>
      <c r="FN18" s="2"/>
      <c r="FO18" s="280"/>
      <c r="FP18" s="280"/>
      <c r="FQ18" s="2"/>
      <c r="FR18" s="2"/>
      <c r="FS18" s="2"/>
      <c r="FT18" s="2"/>
      <c r="FU18" s="280"/>
      <c r="FV18" s="280"/>
      <c r="FW18" s="2"/>
      <c r="FX18" s="2"/>
      <c r="FY18" s="2"/>
      <c r="FZ18" s="2"/>
      <c r="GA18" s="280"/>
      <c r="GB18" s="280"/>
      <c r="GC18" s="2"/>
      <c r="GD18" s="2"/>
      <c r="GE18" s="2"/>
      <c r="GF18" s="2"/>
      <c r="GG18" s="280"/>
      <c r="GH18" s="280"/>
      <c r="GI18" s="2"/>
      <c r="GJ18" s="2"/>
      <c r="GK18" s="2"/>
      <c r="GL18" s="2"/>
      <c r="GM18" s="280"/>
      <c r="GN18" s="280"/>
      <c r="GO18" s="2"/>
      <c r="GP18" s="2"/>
      <c r="GQ18" s="2"/>
      <c r="GR18" s="2"/>
      <c r="GS18" s="280"/>
      <c r="GT18" s="280"/>
      <c r="GU18" s="2"/>
      <c r="GV18" s="2"/>
      <c r="GW18" s="2"/>
      <c r="GX18" s="2"/>
      <c r="GY18" s="280"/>
      <c r="GZ18" s="280"/>
      <c r="HA18" s="2"/>
      <c r="HB18" s="2"/>
      <c r="HC18" s="2"/>
      <c r="HD18" s="2"/>
      <c r="HE18" s="280"/>
      <c r="HF18" s="280"/>
      <c r="HG18" s="2"/>
      <c r="HH18" s="2"/>
      <c r="HI18" s="2"/>
      <c r="HJ18" s="2"/>
    </row>
    <row r="19" spans="1:218" ht="12.9" customHeight="1" x14ac:dyDescent="0.2">
      <c r="A19" s="10" t="str">
        <f>+'Past Quartets 1st - 3rd Place'!A19</f>
        <v>1989</v>
      </c>
      <c r="B19" s="503">
        <f>+'Past Quartets 1st - 3rd Place'!B19</f>
        <v>33</v>
      </c>
      <c r="C19" s="504" t="s">
        <v>4100</v>
      </c>
      <c r="D19" s="245" t="s">
        <v>130</v>
      </c>
      <c r="E19" s="1" t="s">
        <v>131</v>
      </c>
      <c r="F19" s="1" t="s">
        <v>132</v>
      </c>
      <c r="G19" s="1" t="s">
        <v>133</v>
      </c>
      <c r="H19" s="3" t="s">
        <v>252</v>
      </c>
      <c r="I19" s="245" t="s">
        <v>3547</v>
      </c>
      <c r="J19" s="528" t="s">
        <v>421</v>
      </c>
      <c r="K19" s="1" t="s">
        <v>422</v>
      </c>
      <c r="L19" s="1" t="s">
        <v>3549</v>
      </c>
      <c r="M19" s="1" t="s">
        <v>3289</v>
      </c>
      <c r="N19" s="3" t="s">
        <v>3550</v>
      </c>
      <c r="O19" s="197" t="s">
        <v>1527</v>
      </c>
      <c r="P19" s="504" t="s">
        <v>2041</v>
      </c>
      <c r="Q19" s="1" t="s">
        <v>2417</v>
      </c>
      <c r="R19" s="1" t="s">
        <v>2418</v>
      </c>
      <c r="S19" s="1" t="s">
        <v>3543</v>
      </c>
      <c r="T19" s="3" t="s">
        <v>2457</v>
      </c>
      <c r="U19" s="197" t="s">
        <v>2820</v>
      </c>
      <c r="V19" s="197" t="s">
        <v>517</v>
      </c>
      <c r="W19" s="2" t="s">
        <v>2157</v>
      </c>
      <c r="X19" s="2" t="s">
        <v>662</v>
      </c>
      <c r="Y19" s="2" t="s">
        <v>3518</v>
      </c>
      <c r="Z19" s="3" t="s">
        <v>3519</v>
      </c>
      <c r="AA19" s="197" t="s">
        <v>253</v>
      </c>
      <c r="AB19" s="504" t="s">
        <v>4079</v>
      </c>
      <c r="AC19" s="1" t="s">
        <v>2158</v>
      </c>
      <c r="AD19" s="1" t="s">
        <v>166</v>
      </c>
      <c r="AE19" s="1" t="s">
        <v>168</v>
      </c>
      <c r="AF19" s="3" t="s">
        <v>255</v>
      </c>
      <c r="AG19" s="197" t="s">
        <v>2467</v>
      </c>
      <c r="AH19" s="504" t="s">
        <v>2468</v>
      </c>
      <c r="AI19" s="1" t="s">
        <v>2469</v>
      </c>
      <c r="AJ19" s="1" t="s">
        <v>231</v>
      </c>
      <c r="AK19" s="1" t="s">
        <v>3236</v>
      </c>
      <c r="AL19" s="3" t="s">
        <v>2472</v>
      </c>
      <c r="AM19" s="197" t="s">
        <v>867</v>
      </c>
      <c r="AN19" s="197" t="s">
        <v>4177</v>
      </c>
      <c r="AO19" s="2" t="s">
        <v>868</v>
      </c>
      <c r="AP19" s="2" t="s">
        <v>869</v>
      </c>
      <c r="AQ19" s="2" t="s">
        <v>870</v>
      </c>
      <c r="AR19" s="3" t="s">
        <v>3662</v>
      </c>
      <c r="AS19" s="197" t="s">
        <v>2792</v>
      </c>
      <c r="AT19" s="504" t="s">
        <v>517</v>
      </c>
      <c r="AU19" s="1" t="s">
        <v>2793</v>
      </c>
      <c r="AV19" s="1" t="s">
        <v>2270</v>
      </c>
      <c r="AW19" s="1" t="s">
        <v>2794</v>
      </c>
      <c r="AX19" s="3" t="s">
        <v>768</v>
      </c>
      <c r="AY19" s="197" t="s">
        <v>399</v>
      </c>
      <c r="AZ19" s="504" t="s">
        <v>3460</v>
      </c>
      <c r="BA19" s="1" t="s">
        <v>735</v>
      </c>
      <c r="BB19" s="1" t="s">
        <v>2159</v>
      </c>
      <c r="BC19" s="1" t="s">
        <v>2154</v>
      </c>
      <c r="BD19" s="3" t="s">
        <v>2155</v>
      </c>
      <c r="BE19" s="197" t="s">
        <v>3573</v>
      </c>
      <c r="BF19" s="197" t="s">
        <v>1879</v>
      </c>
      <c r="BG19" s="2" t="s">
        <v>765</v>
      </c>
      <c r="BH19" s="2" t="s">
        <v>2160</v>
      </c>
      <c r="BI19" s="2" t="s">
        <v>859</v>
      </c>
      <c r="BJ19" s="3" t="s">
        <v>690</v>
      </c>
      <c r="BK19" s="197"/>
      <c r="BL19" s="504"/>
      <c r="BP19" s="3"/>
      <c r="BQ19" s="197"/>
      <c r="BR19" s="504"/>
      <c r="BS19" s="1"/>
      <c r="BT19" s="1"/>
      <c r="BU19" s="1"/>
      <c r="BV19" s="3"/>
      <c r="BW19" s="197"/>
      <c r="BX19" s="504"/>
      <c r="BY19" s="1"/>
      <c r="BZ19" s="1"/>
      <c r="CA19" s="1"/>
      <c r="CB19" s="3"/>
      <c r="CC19" s="197"/>
      <c r="CD19" s="197"/>
      <c r="CE19" s="2"/>
      <c r="CF19" s="2"/>
      <c r="CG19" s="2"/>
      <c r="CH19" s="3"/>
      <c r="CI19" s="197"/>
      <c r="CJ19" s="504"/>
      <c r="CN19" s="3"/>
      <c r="CO19" s="197"/>
      <c r="CP19" s="504"/>
      <c r="CQ19" s="2"/>
      <c r="CR19" s="2"/>
      <c r="CS19" s="2"/>
      <c r="CT19" s="3"/>
      <c r="CU19" s="280"/>
      <c r="CV19" s="280"/>
      <c r="CW19" s="2"/>
      <c r="CX19" s="2"/>
      <c r="CY19" s="2"/>
      <c r="CZ19" s="2"/>
      <c r="DA19" s="280"/>
      <c r="DB19" s="280"/>
      <c r="DC19" s="2"/>
      <c r="DD19" s="2"/>
      <c r="DE19" s="2"/>
      <c r="DF19" s="2"/>
      <c r="DG19" s="280"/>
      <c r="DH19" s="280"/>
      <c r="DI19" s="2"/>
      <c r="DJ19" s="2"/>
      <c r="DK19" s="2"/>
      <c r="DL19" s="2"/>
      <c r="DM19" s="280"/>
      <c r="DN19" s="280"/>
      <c r="DO19" s="2"/>
      <c r="DP19" s="2"/>
      <c r="DQ19" s="2"/>
      <c r="DR19" s="2"/>
      <c r="DS19" s="280"/>
      <c r="DT19" s="280"/>
      <c r="DU19" s="2"/>
      <c r="DV19" s="2"/>
      <c r="DW19" s="2"/>
      <c r="DX19" s="2"/>
      <c r="DY19" s="280"/>
      <c r="DZ19" s="280"/>
      <c r="EA19" s="2"/>
      <c r="EB19" s="2"/>
      <c r="EC19" s="2"/>
      <c r="ED19" s="2"/>
      <c r="EE19" s="280"/>
      <c r="EF19" s="280"/>
      <c r="EG19" s="2"/>
      <c r="EH19" s="2"/>
      <c r="EI19" s="2"/>
      <c r="EJ19" s="2"/>
      <c r="EK19" s="280"/>
      <c r="EL19" s="280"/>
      <c r="EM19" s="2"/>
      <c r="EN19" s="2"/>
      <c r="EO19" s="2"/>
      <c r="EP19" s="2"/>
      <c r="EQ19" s="280"/>
      <c r="ER19" s="280"/>
      <c r="ES19" s="2"/>
      <c r="ET19" s="2"/>
      <c r="EU19" s="2"/>
      <c r="EV19" s="2"/>
      <c r="EW19" s="280"/>
      <c r="EX19" s="280"/>
      <c r="EY19" s="2"/>
      <c r="EZ19" s="2"/>
      <c r="FA19" s="2"/>
      <c r="FB19" s="2"/>
      <c r="FC19" s="280"/>
      <c r="FD19" s="280"/>
      <c r="FE19" s="2"/>
      <c r="FF19" s="2"/>
      <c r="FG19" s="2"/>
      <c r="FH19" s="2"/>
      <c r="FI19" s="280"/>
      <c r="FJ19" s="280"/>
      <c r="FK19" s="2"/>
      <c r="FL19" s="2"/>
      <c r="FM19" s="2"/>
      <c r="FN19" s="2"/>
      <c r="FO19" s="280"/>
      <c r="FP19" s="280"/>
      <c r="FQ19" s="2"/>
      <c r="FR19" s="2"/>
      <c r="FS19" s="2"/>
      <c r="FT19" s="2"/>
      <c r="FU19" s="280"/>
      <c r="FV19" s="280"/>
      <c r="FW19" s="2"/>
      <c r="FX19" s="2"/>
      <c r="FY19" s="2"/>
      <c r="FZ19" s="2"/>
      <c r="GA19" s="280"/>
      <c r="GB19" s="280"/>
      <c r="GC19" s="2"/>
      <c r="GD19" s="2"/>
      <c r="GE19" s="2"/>
      <c r="GF19" s="2"/>
      <c r="GG19" s="280"/>
      <c r="GH19" s="280"/>
      <c r="GI19" s="2"/>
      <c r="GJ19" s="2"/>
      <c r="GK19" s="2"/>
      <c r="GL19" s="2"/>
      <c r="GM19" s="280"/>
      <c r="GN19" s="280"/>
      <c r="GO19" s="2"/>
      <c r="GP19" s="2"/>
      <c r="GQ19" s="2"/>
      <c r="GR19" s="2"/>
      <c r="GS19" s="280"/>
      <c r="GT19" s="280"/>
      <c r="GU19" s="2"/>
      <c r="GV19" s="2"/>
      <c r="GW19" s="2"/>
      <c r="GX19" s="2"/>
      <c r="GY19" s="280"/>
      <c r="GZ19" s="280"/>
      <c r="HA19" s="2"/>
      <c r="HB19" s="2"/>
      <c r="HC19" s="2"/>
      <c r="HD19" s="2"/>
      <c r="HE19" s="280"/>
      <c r="HF19" s="280"/>
      <c r="HG19" s="2"/>
      <c r="HH19" s="2"/>
      <c r="HI19" s="2"/>
      <c r="HJ19" s="2"/>
    </row>
    <row r="20" spans="1:218" ht="12.9" customHeight="1" x14ac:dyDescent="0.2">
      <c r="A20" s="10" t="str">
        <f>+'Past Quartets 1st - 3rd Place'!A20</f>
        <v>1990</v>
      </c>
      <c r="B20" s="503">
        <f>+'Past Quartets 1st - 3rd Place'!B20</f>
        <v>39</v>
      </c>
      <c r="C20" s="504" t="s">
        <v>138</v>
      </c>
      <c r="D20" s="197" t="s">
        <v>139</v>
      </c>
      <c r="E20" s="1" t="s">
        <v>145</v>
      </c>
      <c r="F20" s="1" t="s">
        <v>146</v>
      </c>
      <c r="G20" s="1" t="s">
        <v>2817</v>
      </c>
      <c r="H20" s="1" t="s">
        <v>2818</v>
      </c>
      <c r="I20" s="405" t="s">
        <v>3664</v>
      </c>
      <c r="J20" s="245" t="s">
        <v>3665</v>
      </c>
      <c r="K20" s="1" t="s">
        <v>2138</v>
      </c>
      <c r="L20" s="1" t="s">
        <v>3666</v>
      </c>
      <c r="M20" s="1" t="s">
        <v>3667</v>
      </c>
      <c r="N20" s="1" t="s">
        <v>3395</v>
      </c>
      <c r="O20" s="405" t="s">
        <v>1890</v>
      </c>
      <c r="P20" s="245" t="s">
        <v>4230</v>
      </c>
      <c r="Q20" s="2" t="s">
        <v>769</v>
      </c>
      <c r="R20" s="1" t="s">
        <v>166</v>
      </c>
      <c r="S20" s="1" t="s">
        <v>255</v>
      </c>
      <c r="T20" s="3" t="s">
        <v>168</v>
      </c>
      <c r="U20" s="197" t="s">
        <v>867</v>
      </c>
      <c r="V20" s="197" t="s">
        <v>4177</v>
      </c>
      <c r="W20" s="2" t="s">
        <v>868</v>
      </c>
      <c r="X20" s="2" t="s">
        <v>869</v>
      </c>
      <c r="Y20" s="2" t="s">
        <v>870</v>
      </c>
      <c r="Z20" s="2" t="s">
        <v>3669</v>
      </c>
      <c r="AA20" s="405" t="s">
        <v>206</v>
      </c>
      <c r="AB20" s="197" t="s">
        <v>2161</v>
      </c>
      <c r="AC20" s="1" t="s">
        <v>3552</v>
      </c>
      <c r="AD20" s="1" t="s">
        <v>3553</v>
      </c>
      <c r="AE20" s="1" t="s">
        <v>3554</v>
      </c>
      <c r="AF20" s="1" t="s">
        <v>3555</v>
      </c>
      <c r="AG20" s="405" t="s">
        <v>200</v>
      </c>
      <c r="AH20" s="197" t="s">
        <v>2164</v>
      </c>
      <c r="AI20" s="1" t="s">
        <v>2167</v>
      </c>
      <c r="AJ20" s="1" t="s">
        <v>3601</v>
      </c>
      <c r="AK20" s="1" t="s">
        <v>2165</v>
      </c>
      <c r="AL20" s="3" t="s">
        <v>2166</v>
      </c>
      <c r="AM20" s="197" t="s">
        <v>2467</v>
      </c>
      <c r="AN20" s="197" t="s">
        <v>2162</v>
      </c>
      <c r="AO20" s="2" t="s">
        <v>2469</v>
      </c>
      <c r="AP20" s="2" t="s">
        <v>231</v>
      </c>
      <c r="AQ20" s="2" t="s">
        <v>3236</v>
      </c>
      <c r="AR20" s="2" t="s">
        <v>2472</v>
      </c>
      <c r="AS20" s="405" t="s">
        <v>2820</v>
      </c>
      <c r="AT20" s="197" t="s">
        <v>517</v>
      </c>
      <c r="AU20" s="1" t="s">
        <v>3517</v>
      </c>
      <c r="AV20" s="1" t="s">
        <v>662</v>
      </c>
      <c r="AW20" s="1" t="s">
        <v>3518</v>
      </c>
      <c r="AX20" s="1" t="s">
        <v>3519</v>
      </c>
      <c r="AY20" s="405" t="s">
        <v>1527</v>
      </c>
      <c r="AZ20" s="197" t="s">
        <v>2041</v>
      </c>
      <c r="BA20" s="1" t="s">
        <v>2417</v>
      </c>
      <c r="BB20" s="1" t="s">
        <v>2418</v>
      </c>
      <c r="BC20" s="1" t="s">
        <v>3543</v>
      </c>
      <c r="BD20" s="3" t="s">
        <v>2457</v>
      </c>
      <c r="BE20" s="197" t="s">
        <v>399</v>
      </c>
      <c r="BF20" s="197" t="s">
        <v>2163</v>
      </c>
      <c r="BG20" s="2" t="s">
        <v>735</v>
      </c>
      <c r="BH20" s="2" t="s">
        <v>2159</v>
      </c>
      <c r="BI20" s="2" t="s">
        <v>2154</v>
      </c>
      <c r="BJ20" s="2" t="s">
        <v>2155</v>
      </c>
      <c r="BK20" s="405" t="s">
        <v>1903</v>
      </c>
      <c r="BL20" s="197" t="s">
        <v>1885</v>
      </c>
      <c r="BM20" s="1" t="s">
        <v>3674</v>
      </c>
      <c r="BN20" s="1" t="s">
        <v>1904</v>
      </c>
      <c r="BO20" s="1" t="s">
        <v>2274</v>
      </c>
      <c r="BP20" s="3" t="s">
        <v>1880</v>
      </c>
      <c r="BQ20" s="405"/>
      <c r="BR20" s="197"/>
      <c r="BS20" s="1"/>
      <c r="BT20" s="1"/>
      <c r="BU20" s="1"/>
      <c r="BV20" s="3"/>
      <c r="BW20" s="197"/>
      <c r="BX20" s="197"/>
      <c r="BY20" s="1"/>
      <c r="BZ20" s="1"/>
      <c r="CA20" s="1"/>
      <c r="CB20" s="3"/>
      <c r="CC20" s="197"/>
      <c r="CD20" s="197"/>
      <c r="CE20" s="2"/>
      <c r="CF20" s="2"/>
      <c r="CG20" s="2"/>
      <c r="CH20" s="2"/>
      <c r="CI20" s="405"/>
      <c r="CJ20" s="197"/>
      <c r="CN20" s="3"/>
      <c r="CO20" s="405"/>
      <c r="CP20" s="197"/>
      <c r="CQ20" s="2"/>
      <c r="CR20" s="2"/>
      <c r="CS20" s="2"/>
      <c r="CT20" s="3"/>
      <c r="CU20" s="280"/>
      <c r="CV20" s="280"/>
      <c r="CW20" s="2"/>
      <c r="CX20" s="2"/>
      <c r="CY20" s="2"/>
      <c r="CZ20" s="2"/>
      <c r="DA20" s="280"/>
      <c r="DB20" s="280"/>
      <c r="DC20" s="2"/>
      <c r="DD20" s="2"/>
      <c r="DE20" s="2"/>
      <c r="DF20" s="2"/>
      <c r="DG20" s="280"/>
      <c r="DH20" s="280"/>
      <c r="DI20" s="2"/>
      <c r="DJ20" s="2"/>
      <c r="DK20" s="2"/>
      <c r="DL20" s="2"/>
      <c r="DM20" s="280"/>
      <c r="DN20" s="280"/>
      <c r="DO20" s="2"/>
      <c r="DP20" s="2"/>
      <c r="DQ20" s="2"/>
      <c r="DR20" s="2"/>
      <c r="DS20" s="280"/>
      <c r="DT20" s="280"/>
      <c r="DU20" s="2"/>
      <c r="DV20" s="2"/>
      <c r="DW20" s="2"/>
      <c r="DX20" s="2"/>
      <c r="DY20" s="280"/>
      <c r="DZ20" s="280"/>
      <c r="EA20" s="2"/>
      <c r="EB20" s="2"/>
      <c r="EC20" s="2"/>
      <c r="ED20" s="2"/>
      <c r="EE20" s="280"/>
      <c r="EF20" s="280"/>
      <c r="EG20" s="2"/>
      <c r="EH20" s="2"/>
      <c r="EI20" s="2"/>
      <c r="EJ20" s="2"/>
      <c r="EK20" s="280"/>
      <c r="EL20" s="280"/>
      <c r="EM20" s="2"/>
      <c r="EN20" s="2"/>
      <c r="EO20" s="2"/>
      <c r="EP20" s="2"/>
      <c r="EQ20" s="280"/>
      <c r="ER20" s="280"/>
      <c r="ES20" s="2"/>
      <c r="ET20" s="2"/>
      <c r="EU20" s="2"/>
      <c r="EV20" s="2"/>
      <c r="EW20" s="280"/>
      <c r="EX20" s="280"/>
      <c r="EY20" s="2"/>
      <c r="EZ20" s="2"/>
      <c r="FA20" s="2"/>
      <c r="FB20" s="2"/>
      <c r="FC20" s="280"/>
      <c r="FD20" s="280"/>
      <c r="FE20" s="2"/>
      <c r="FF20" s="2"/>
      <c r="FG20" s="2"/>
      <c r="FH20" s="2"/>
      <c r="FI20" s="280"/>
      <c r="FJ20" s="280"/>
      <c r="FK20" s="2"/>
      <c r="FL20" s="2"/>
      <c r="FM20" s="2"/>
      <c r="FN20" s="2"/>
      <c r="FO20" s="280"/>
      <c r="FP20" s="280"/>
      <c r="FQ20" s="2"/>
      <c r="FR20" s="2"/>
      <c r="FS20" s="2"/>
      <c r="FT20" s="2"/>
      <c r="FU20" s="280"/>
      <c r="FV20" s="280"/>
      <c r="FW20" s="2"/>
      <c r="FX20" s="2"/>
      <c r="FY20" s="2"/>
      <c r="FZ20" s="2"/>
      <c r="GA20" s="280"/>
      <c r="GB20" s="280"/>
      <c r="GC20" s="2"/>
      <c r="GD20" s="2"/>
      <c r="GE20" s="2"/>
      <c r="GF20" s="2"/>
      <c r="GG20" s="280"/>
      <c r="GH20" s="280"/>
      <c r="GI20" s="2"/>
      <c r="GJ20" s="2"/>
      <c r="GK20" s="2"/>
      <c r="GL20" s="2"/>
      <c r="GM20" s="280"/>
      <c r="GN20" s="280"/>
      <c r="GO20" s="2"/>
      <c r="GP20" s="2"/>
      <c r="GQ20" s="2"/>
      <c r="GR20" s="2"/>
      <c r="GS20" s="280"/>
      <c r="GT20" s="280"/>
      <c r="GU20" s="2"/>
      <c r="GV20" s="2"/>
      <c r="GW20" s="2"/>
      <c r="GX20" s="2"/>
      <c r="GY20" s="280"/>
      <c r="GZ20" s="280"/>
      <c r="HA20" s="2"/>
      <c r="HB20" s="2"/>
      <c r="HC20" s="2"/>
      <c r="HD20" s="2"/>
      <c r="HE20" s="280"/>
      <c r="HF20" s="280"/>
      <c r="HG20" s="2"/>
      <c r="HH20" s="2"/>
      <c r="HI20" s="2"/>
      <c r="HJ20" s="2"/>
    </row>
    <row r="21" spans="1:218" ht="12.9" customHeight="1" x14ac:dyDescent="0.2">
      <c r="A21" s="10" t="str">
        <f>+'Past Quartets 1st - 3rd Place'!A21</f>
        <v>1991</v>
      </c>
      <c r="B21" s="503">
        <f>+'Past Quartets 1st - 3rd Place'!B21</f>
        <v>28</v>
      </c>
      <c r="C21" s="504" t="s">
        <v>257</v>
      </c>
      <c r="D21" s="245" t="s">
        <v>4079</v>
      </c>
      <c r="E21" s="1" t="s">
        <v>258</v>
      </c>
      <c r="F21" s="1" t="s">
        <v>4081</v>
      </c>
      <c r="G21" s="1" t="s">
        <v>260</v>
      </c>
      <c r="H21" s="1" t="s">
        <v>261</v>
      </c>
      <c r="I21" s="405" t="s">
        <v>3551</v>
      </c>
      <c r="J21" s="245" t="s">
        <v>4161</v>
      </c>
      <c r="K21" s="1" t="s">
        <v>3552</v>
      </c>
      <c r="L21" s="1" t="s">
        <v>3553</v>
      </c>
      <c r="M21" s="1" t="s">
        <v>3554</v>
      </c>
      <c r="N21" s="1" t="s">
        <v>3555</v>
      </c>
      <c r="O21" s="405" t="s">
        <v>3664</v>
      </c>
      <c r="P21" s="197" t="s">
        <v>3665</v>
      </c>
      <c r="Q21" s="1" t="s">
        <v>2138</v>
      </c>
      <c r="R21" s="1" t="s">
        <v>3666</v>
      </c>
      <c r="S21" s="1" t="s">
        <v>3667</v>
      </c>
      <c r="T21" s="3" t="s">
        <v>3395</v>
      </c>
      <c r="U21" s="197" t="s">
        <v>3286</v>
      </c>
      <c r="V21" s="197" t="s">
        <v>3718</v>
      </c>
      <c r="W21" s="1" t="s">
        <v>3288</v>
      </c>
      <c r="X21" s="1" t="s">
        <v>3707</v>
      </c>
      <c r="Y21" s="1" t="s">
        <v>3827</v>
      </c>
      <c r="Z21" s="1" t="s">
        <v>3284</v>
      </c>
      <c r="AA21" s="405" t="s">
        <v>253</v>
      </c>
      <c r="AB21" s="197" t="s">
        <v>4079</v>
      </c>
      <c r="AC21" s="2" t="s">
        <v>769</v>
      </c>
      <c r="AD21" s="1" t="s">
        <v>166</v>
      </c>
      <c r="AE21" s="1" t="s">
        <v>255</v>
      </c>
      <c r="AF21" s="3" t="s">
        <v>168</v>
      </c>
      <c r="AG21" s="405" t="s">
        <v>3663</v>
      </c>
      <c r="AH21" s="197" t="s">
        <v>4177</v>
      </c>
      <c r="AI21" s="2" t="s">
        <v>2532</v>
      </c>
      <c r="AJ21" s="2" t="s">
        <v>693</v>
      </c>
      <c r="AK21" s="2" t="s">
        <v>2533</v>
      </c>
      <c r="AL21" s="3" t="s">
        <v>4033</v>
      </c>
      <c r="AM21" s="197" t="s">
        <v>1908</v>
      </c>
      <c r="AN21" s="197" t="s">
        <v>2168</v>
      </c>
      <c r="AO21" s="1" t="s">
        <v>2174</v>
      </c>
      <c r="AP21" s="1" t="s">
        <v>2175</v>
      </c>
      <c r="AQ21" s="1" t="s">
        <v>3249</v>
      </c>
      <c r="AR21" s="1" t="s">
        <v>2173</v>
      </c>
      <c r="AS21" s="405" t="s">
        <v>3668</v>
      </c>
      <c r="AT21" s="197" t="s">
        <v>2169</v>
      </c>
      <c r="AU21" s="1" t="s">
        <v>2793</v>
      </c>
      <c r="AV21" s="1" t="s">
        <v>278</v>
      </c>
      <c r="AW21" s="1" t="s">
        <v>2534</v>
      </c>
      <c r="AX21" s="3" t="s">
        <v>2535</v>
      </c>
      <c r="AY21" s="405" t="s">
        <v>1623</v>
      </c>
      <c r="AZ21" s="197" t="s">
        <v>2170</v>
      </c>
      <c r="BA21" s="2" t="s">
        <v>439</v>
      </c>
      <c r="BB21" s="2" t="s">
        <v>1626</v>
      </c>
      <c r="BC21" s="2" t="s">
        <v>1627</v>
      </c>
      <c r="BD21" s="3" t="s">
        <v>1628</v>
      </c>
      <c r="BE21" s="197" t="s">
        <v>1527</v>
      </c>
      <c r="BF21" s="197" t="s">
        <v>1528</v>
      </c>
      <c r="BG21" s="2" t="s">
        <v>2417</v>
      </c>
      <c r="BH21" s="2" t="s">
        <v>2418</v>
      </c>
      <c r="BI21" s="2" t="s">
        <v>3543</v>
      </c>
      <c r="BJ21" s="3" t="s">
        <v>2457</v>
      </c>
      <c r="BK21" s="405" t="s">
        <v>2092</v>
      </c>
      <c r="BL21" s="197" t="s">
        <v>2172</v>
      </c>
      <c r="BM21" s="1" t="s">
        <v>527</v>
      </c>
      <c r="BN21" s="1" t="s">
        <v>184</v>
      </c>
      <c r="BO21" s="1" t="s">
        <v>3876</v>
      </c>
      <c r="BP21" s="3" t="s">
        <v>265</v>
      </c>
      <c r="BQ21" s="405"/>
      <c r="BR21" s="197"/>
      <c r="BS21" s="1"/>
      <c r="BT21" s="1"/>
      <c r="BU21" s="1"/>
      <c r="BV21" s="3"/>
      <c r="BW21" s="197"/>
      <c r="BX21" s="197"/>
      <c r="BY21" s="1"/>
      <c r="BZ21" s="1"/>
      <c r="CA21" s="1"/>
      <c r="CB21" s="3"/>
      <c r="CC21" s="197"/>
      <c r="CD21" s="197"/>
      <c r="CI21" s="405"/>
      <c r="CJ21" s="197"/>
      <c r="CN21" s="3"/>
      <c r="CO21" s="405"/>
      <c r="CP21" s="197"/>
      <c r="CQ21" s="2"/>
      <c r="CR21" s="2"/>
      <c r="CS21" s="2"/>
      <c r="CT21" s="3"/>
      <c r="CU21" s="280"/>
      <c r="CV21" s="280"/>
      <c r="CW21" s="2"/>
      <c r="CX21" s="2"/>
      <c r="CY21" s="2"/>
      <c r="CZ21" s="2"/>
      <c r="DA21" s="280"/>
      <c r="DB21" s="280"/>
      <c r="DC21" s="2"/>
      <c r="DD21" s="2"/>
      <c r="DE21" s="2"/>
      <c r="DF21" s="2"/>
      <c r="DG21" s="280"/>
      <c r="DH21" s="280"/>
      <c r="DI21" s="2"/>
      <c r="DJ21" s="2"/>
      <c r="DK21" s="2"/>
      <c r="DL21" s="2"/>
      <c r="DM21" s="280"/>
      <c r="DN21" s="280"/>
      <c r="DO21" s="2"/>
      <c r="DP21" s="2"/>
      <c r="DQ21" s="2"/>
      <c r="DR21" s="2"/>
      <c r="DS21" s="280"/>
      <c r="DT21" s="280"/>
      <c r="DU21" s="2"/>
      <c r="DV21" s="2"/>
      <c r="DW21" s="2"/>
      <c r="DX21" s="2"/>
      <c r="DY21" s="280"/>
      <c r="DZ21" s="280"/>
      <c r="EA21" s="2"/>
      <c r="EB21" s="2"/>
      <c r="EC21" s="2"/>
      <c r="ED21" s="2"/>
      <c r="EE21" s="280"/>
      <c r="EF21" s="280"/>
      <c r="EG21" s="2"/>
      <c r="EH21" s="2"/>
      <c r="EI21" s="2"/>
      <c r="EJ21" s="2"/>
      <c r="EK21" s="280"/>
      <c r="EL21" s="280"/>
      <c r="EM21" s="2"/>
      <c r="EN21" s="2"/>
      <c r="EO21" s="2"/>
      <c r="EP21" s="2"/>
      <c r="EQ21" s="280"/>
      <c r="ER21" s="280"/>
      <c r="ES21" s="2"/>
      <c r="ET21" s="2"/>
      <c r="EU21" s="2"/>
      <c r="EV21" s="2"/>
      <c r="EW21" s="280"/>
      <c r="EX21" s="280"/>
      <c r="EY21" s="2"/>
      <c r="EZ21" s="2"/>
      <c r="FA21" s="2"/>
      <c r="FB21" s="2"/>
      <c r="FC21" s="280"/>
      <c r="FD21" s="280"/>
      <c r="FE21" s="2"/>
      <c r="FF21" s="2"/>
      <c r="FG21" s="2"/>
      <c r="FH21" s="2"/>
      <c r="FI21" s="280"/>
      <c r="FJ21" s="280"/>
      <c r="FK21" s="2"/>
      <c r="FL21" s="2"/>
      <c r="FM21" s="2"/>
      <c r="FN21" s="2"/>
      <c r="FO21" s="280"/>
      <c r="FP21" s="280"/>
      <c r="FQ21" s="2"/>
      <c r="FR21" s="2"/>
      <c r="FS21" s="2"/>
      <c r="FT21" s="2"/>
      <c r="FU21" s="280"/>
      <c r="FV21" s="280"/>
      <c r="FW21" s="2"/>
      <c r="FX21" s="2"/>
      <c r="FY21" s="2"/>
      <c r="FZ21" s="2"/>
      <c r="GA21" s="280"/>
      <c r="GB21" s="280"/>
      <c r="GC21" s="2"/>
      <c r="GD21" s="2"/>
      <c r="GE21" s="2"/>
      <c r="GF21" s="2"/>
      <c r="GG21" s="280"/>
      <c r="GH21" s="280"/>
      <c r="GI21" s="2"/>
      <c r="GJ21" s="2"/>
      <c r="GK21" s="2"/>
      <c r="GL21" s="2"/>
      <c r="GM21" s="280"/>
      <c r="GN21" s="280"/>
      <c r="GO21" s="2"/>
      <c r="GP21" s="2"/>
      <c r="GQ21" s="2"/>
      <c r="GR21" s="2"/>
      <c r="GS21" s="280"/>
      <c r="GT21" s="280"/>
      <c r="GU21" s="2"/>
      <c r="GV21" s="2"/>
      <c r="GW21" s="2"/>
      <c r="GX21" s="2"/>
      <c r="GY21" s="280"/>
      <c r="GZ21" s="280"/>
      <c r="HA21" s="2"/>
      <c r="HB21" s="2"/>
      <c r="HC21" s="2"/>
      <c r="HD21" s="2"/>
      <c r="HE21" s="280"/>
      <c r="HF21" s="280"/>
      <c r="HG21" s="2"/>
      <c r="HH21" s="2"/>
      <c r="HI21" s="2"/>
      <c r="HJ21" s="2"/>
    </row>
    <row r="22" spans="1:218" ht="12.9" customHeight="1" x14ac:dyDescent="0.2">
      <c r="A22" s="10" t="str">
        <f>+'Past Quartets 1st - 3rd Place'!A22</f>
        <v>1992</v>
      </c>
      <c r="B22" s="503">
        <f>+'Past Quartets 1st - 3rd Place'!B22</f>
        <v>33</v>
      </c>
      <c r="C22" s="504" t="s">
        <v>867</v>
      </c>
      <c r="D22" s="245" t="s">
        <v>4177</v>
      </c>
      <c r="E22" s="2" t="s">
        <v>868</v>
      </c>
      <c r="F22" s="2" t="s">
        <v>869</v>
      </c>
      <c r="G22" s="2" t="s">
        <v>870</v>
      </c>
      <c r="H22" s="3" t="s">
        <v>3669</v>
      </c>
      <c r="I22" s="405" t="s">
        <v>3551</v>
      </c>
      <c r="J22" s="245" t="s">
        <v>4161</v>
      </c>
      <c r="K22" s="1" t="s">
        <v>3552</v>
      </c>
      <c r="L22" s="1" t="s">
        <v>3553</v>
      </c>
      <c r="M22" s="1" t="s">
        <v>3554</v>
      </c>
      <c r="N22" s="1" t="s">
        <v>3555</v>
      </c>
      <c r="O22" s="405" t="s">
        <v>2099</v>
      </c>
      <c r="P22" s="197" t="s">
        <v>148</v>
      </c>
      <c r="Q22" s="2" t="s">
        <v>3283</v>
      </c>
      <c r="R22" s="2" t="s">
        <v>44</v>
      </c>
      <c r="S22" s="2" t="s">
        <v>3284</v>
      </c>
      <c r="T22" s="3" t="s">
        <v>4054</v>
      </c>
      <c r="U22" s="197" t="s">
        <v>1908</v>
      </c>
      <c r="V22" s="197" t="s">
        <v>2168</v>
      </c>
      <c r="W22" s="1" t="s">
        <v>2174</v>
      </c>
      <c r="X22" s="1" t="s">
        <v>2175</v>
      </c>
      <c r="Y22" s="1" t="s">
        <v>4052</v>
      </c>
      <c r="Z22" s="1" t="s">
        <v>2173</v>
      </c>
      <c r="AA22" s="405" t="s">
        <v>253</v>
      </c>
      <c r="AB22" s="197" t="s">
        <v>4079</v>
      </c>
      <c r="AC22" s="2" t="s">
        <v>769</v>
      </c>
      <c r="AD22" s="1" t="s">
        <v>166</v>
      </c>
      <c r="AE22" s="1" t="s">
        <v>255</v>
      </c>
      <c r="AF22" s="3" t="s">
        <v>168</v>
      </c>
      <c r="AG22" s="405" t="s">
        <v>48</v>
      </c>
      <c r="AH22" s="197" t="s">
        <v>3280</v>
      </c>
      <c r="AI22" s="2" t="s">
        <v>3541</v>
      </c>
      <c r="AJ22" s="2" t="s">
        <v>2705</v>
      </c>
      <c r="AK22" s="2" t="s">
        <v>2706</v>
      </c>
      <c r="AL22" s="3" t="s">
        <v>4068</v>
      </c>
      <c r="AM22" s="197" t="s">
        <v>3547</v>
      </c>
      <c r="AN22" s="197" t="s">
        <v>2176</v>
      </c>
      <c r="AO22" s="1" t="s">
        <v>2419</v>
      </c>
      <c r="AP22" s="1" t="s">
        <v>3549</v>
      </c>
      <c r="AQ22" s="1" t="s">
        <v>3289</v>
      </c>
      <c r="AR22" s="3" t="s">
        <v>3550</v>
      </c>
      <c r="AS22" s="405" t="s">
        <v>3664</v>
      </c>
      <c r="AT22" s="197" t="s">
        <v>2177</v>
      </c>
      <c r="AU22" s="1" t="s">
        <v>2138</v>
      </c>
      <c r="AV22" s="1" t="s">
        <v>3666</v>
      </c>
      <c r="AW22" s="1" t="s">
        <v>3667</v>
      </c>
      <c r="AX22" s="1" t="s">
        <v>3395</v>
      </c>
      <c r="AY22" s="405" t="s">
        <v>257</v>
      </c>
      <c r="AZ22" s="197" t="s">
        <v>4079</v>
      </c>
      <c r="BA22" s="2" t="s">
        <v>258</v>
      </c>
      <c r="BB22" s="2" t="s">
        <v>259</v>
      </c>
      <c r="BC22" s="2" t="s">
        <v>260</v>
      </c>
      <c r="BD22" s="3" t="s">
        <v>261</v>
      </c>
      <c r="BE22" s="197" t="s">
        <v>1527</v>
      </c>
      <c r="BF22" s="197" t="s">
        <v>1528</v>
      </c>
      <c r="BG22" s="2" t="s">
        <v>2417</v>
      </c>
      <c r="BH22" s="2" t="s">
        <v>2418</v>
      </c>
      <c r="BI22" s="2" t="s">
        <v>3543</v>
      </c>
      <c r="BJ22" s="3" t="s">
        <v>2457</v>
      </c>
      <c r="BK22" s="405" t="s">
        <v>2098</v>
      </c>
      <c r="BL22" s="197" t="s">
        <v>2178</v>
      </c>
      <c r="BM22" s="7" t="s">
        <v>2179</v>
      </c>
      <c r="BN22" s="2" t="s">
        <v>2180</v>
      </c>
      <c r="BO22" s="2" t="s">
        <v>2181</v>
      </c>
      <c r="BP22" s="3" t="s">
        <v>2182</v>
      </c>
      <c r="BQ22" s="405"/>
      <c r="BR22" s="197"/>
      <c r="BS22" s="2"/>
      <c r="BT22" s="2"/>
      <c r="BU22" s="2"/>
      <c r="BV22" s="3"/>
      <c r="BW22" s="197"/>
      <c r="BX22" s="197"/>
      <c r="BY22" s="2"/>
      <c r="BZ22" s="2"/>
      <c r="CA22" s="2"/>
      <c r="CB22" s="3"/>
      <c r="CC22" s="197"/>
      <c r="CD22" s="197"/>
      <c r="CH22" s="3"/>
      <c r="CI22" s="405"/>
      <c r="CJ22" s="197"/>
      <c r="CK22" s="7"/>
      <c r="CL22" s="2"/>
      <c r="CM22" s="2"/>
      <c r="CN22" s="3"/>
      <c r="CO22" s="405"/>
      <c r="CP22" s="197"/>
      <c r="CQ22" s="2"/>
      <c r="CR22" s="2"/>
      <c r="CS22" s="2"/>
      <c r="CT22" s="3"/>
      <c r="CU22" s="280"/>
      <c r="CV22" s="280"/>
      <c r="CW22" s="2"/>
      <c r="CX22" s="2"/>
      <c r="CY22" s="2"/>
      <c r="CZ22" s="2"/>
      <c r="DA22" s="280"/>
      <c r="DB22" s="280"/>
      <c r="DC22" s="2"/>
      <c r="DD22" s="2"/>
      <c r="DE22" s="2"/>
      <c r="DF22" s="2"/>
      <c r="DG22" s="280"/>
      <c r="DH22" s="280"/>
      <c r="DI22" s="2"/>
      <c r="DJ22" s="2"/>
      <c r="DK22" s="2"/>
      <c r="DL22" s="2"/>
      <c r="DM22" s="280"/>
      <c r="DN22" s="280"/>
      <c r="DO22" s="2"/>
      <c r="DP22" s="2"/>
      <c r="DQ22" s="2"/>
      <c r="DR22" s="2"/>
      <c r="DS22" s="280"/>
      <c r="DT22" s="280"/>
      <c r="DU22" s="2"/>
      <c r="DV22" s="2"/>
      <c r="DW22" s="2"/>
      <c r="DX22" s="2"/>
      <c r="DY22" s="280"/>
      <c r="DZ22" s="280"/>
      <c r="EA22" s="2"/>
      <c r="EB22" s="2"/>
      <c r="EC22" s="2"/>
      <c r="ED22" s="2"/>
      <c r="EE22" s="280"/>
      <c r="EF22" s="280"/>
      <c r="EG22" s="2"/>
      <c r="EH22" s="2"/>
      <c r="EI22" s="2"/>
      <c r="EJ22" s="2"/>
      <c r="EK22" s="280"/>
      <c r="EL22" s="280"/>
      <c r="EM22" s="2"/>
      <c r="EN22" s="2"/>
      <c r="EO22" s="2"/>
      <c r="EP22" s="2"/>
      <c r="EQ22" s="280"/>
      <c r="ER22" s="280"/>
      <c r="ES22" s="2"/>
      <c r="ET22" s="2"/>
      <c r="EU22" s="2"/>
      <c r="EV22" s="2"/>
      <c r="EW22" s="280"/>
      <c r="EX22" s="280"/>
      <c r="EY22" s="2"/>
      <c r="EZ22" s="2"/>
      <c r="FA22" s="2"/>
      <c r="FB22" s="2"/>
      <c r="FC22" s="280"/>
      <c r="FD22" s="280"/>
      <c r="FE22" s="2"/>
      <c r="FF22" s="2"/>
      <c r="FG22" s="2"/>
      <c r="FH22" s="2"/>
      <c r="FI22" s="280"/>
      <c r="FJ22" s="280"/>
      <c r="FK22" s="2"/>
      <c r="FL22" s="2"/>
      <c r="FM22" s="2"/>
      <c r="FN22" s="2"/>
      <c r="FO22" s="280"/>
      <c r="FP22" s="280"/>
      <c r="FQ22" s="2"/>
      <c r="FR22" s="2"/>
      <c r="FS22" s="2"/>
      <c r="FT22" s="2"/>
      <c r="FU22" s="280"/>
      <c r="FV22" s="280"/>
      <c r="FW22" s="2"/>
      <c r="FX22" s="2"/>
      <c r="FY22" s="2"/>
      <c r="FZ22" s="2"/>
      <c r="GA22" s="280"/>
      <c r="GB22" s="280"/>
      <c r="GC22" s="2"/>
      <c r="GD22" s="2"/>
      <c r="GE22" s="2"/>
      <c r="GF22" s="2"/>
      <c r="GG22" s="280"/>
      <c r="GH22" s="280"/>
      <c r="GI22" s="2"/>
      <c r="GJ22" s="2"/>
      <c r="GK22" s="2"/>
      <c r="GL22" s="2"/>
      <c r="GM22" s="280"/>
      <c r="GN22" s="280"/>
      <c r="GO22" s="2"/>
      <c r="GP22" s="2"/>
      <c r="GQ22" s="2"/>
      <c r="GR22" s="2"/>
      <c r="GS22" s="280"/>
      <c r="GT22" s="280"/>
      <c r="GU22" s="2"/>
      <c r="GV22" s="2"/>
      <c r="GW22" s="2"/>
      <c r="GX22" s="2"/>
      <c r="GY22" s="280"/>
      <c r="GZ22" s="280"/>
      <c r="HA22" s="2"/>
      <c r="HB22" s="2"/>
      <c r="HC22" s="2"/>
      <c r="HD22" s="2"/>
      <c r="HE22" s="280"/>
      <c r="HF22" s="280"/>
      <c r="HG22" s="2"/>
      <c r="HH22" s="2"/>
      <c r="HI22" s="2"/>
      <c r="HJ22" s="2"/>
    </row>
    <row r="23" spans="1:218" ht="12.9" customHeight="1" x14ac:dyDescent="0.2">
      <c r="A23" s="10" t="str">
        <f>+'Past Quartets 1st - 3rd Place'!A23</f>
        <v>1993</v>
      </c>
      <c r="B23" s="503">
        <f>+'Past Quartets 1st - 3rd Place'!B23</f>
        <v>27</v>
      </c>
      <c r="C23" s="504" t="s">
        <v>163</v>
      </c>
      <c r="D23" s="245" t="s">
        <v>164</v>
      </c>
      <c r="E23" s="1" t="s">
        <v>165</v>
      </c>
      <c r="F23" s="1" t="s">
        <v>166</v>
      </c>
      <c r="G23" s="1" t="s">
        <v>167</v>
      </c>
      <c r="H23" s="1" t="s">
        <v>168</v>
      </c>
      <c r="I23" s="405" t="s">
        <v>2105</v>
      </c>
      <c r="J23" s="245" t="s">
        <v>4041</v>
      </c>
      <c r="K23" s="2" t="s">
        <v>4056</v>
      </c>
      <c r="L23" s="2" t="s">
        <v>3565</v>
      </c>
      <c r="M23" s="2" t="s">
        <v>3566</v>
      </c>
      <c r="N23" s="2" t="s">
        <v>4045</v>
      </c>
      <c r="O23" s="405" t="s">
        <v>805</v>
      </c>
      <c r="P23" s="197" t="s">
        <v>2733</v>
      </c>
      <c r="Q23" s="2" t="s">
        <v>3527</v>
      </c>
      <c r="R23" s="2" t="s">
        <v>3557</v>
      </c>
      <c r="S23" s="2" t="s">
        <v>3558</v>
      </c>
      <c r="T23" s="3" t="s">
        <v>220</v>
      </c>
      <c r="U23" s="197" t="s">
        <v>1908</v>
      </c>
      <c r="V23" s="197" t="s">
        <v>2183</v>
      </c>
      <c r="W23" s="1" t="s">
        <v>2174</v>
      </c>
      <c r="X23" s="1" t="s">
        <v>2175</v>
      </c>
      <c r="Y23" s="1" t="s">
        <v>4052</v>
      </c>
      <c r="Z23" s="1" t="s">
        <v>2173</v>
      </c>
      <c r="AA23" s="405" t="s">
        <v>2098</v>
      </c>
      <c r="AB23" s="197" t="s">
        <v>2184</v>
      </c>
      <c r="AC23" s="7" t="s">
        <v>2179</v>
      </c>
      <c r="AD23" s="2" t="s">
        <v>2180</v>
      </c>
      <c r="AE23" s="2" t="s">
        <v>2185</v>
      </c>
      <c r="AF23" s="3" t="s">
        <v>2182</v>
      </c>
      <c r="AG23" s="405" t="s">
        <v>3670</v>
      </c>
      <c r="AH23" s="197" t="s">
        <v>4177</v>
      </c>
      <c r="AI23" s="2" t="s">
        <v>3671</v>
      </c>
      <c r="AJ23" s="2" t="s">
        <v>869</v>
      </c>
      <c r="AK23" s="2" t="s">
        <v>870</v>
      </c>
      <c r="AL23" s="3" t="s">
        <v>3669</v>
      </c>
      <c r="AM23" s="197" t="s">
        <v>3560</v>
      </c>
      <c r="AN23" s="197" t="s">
        <v>2186</v>
      </c>
      <c r="AO23" s="2" t="s">
        <v>3562</v>
      </c>
      <c r="AP23" s="2" t="s">
        <v>3553</v>
      </c>
      <c r="AQ23" s="2" t="s">
        <v>3563</v>
      </c>
      <c r="AR23" s="3" t="s">
        <v>3555</v>
      </c>
      <c r="AS23" s="405" t="s">
        <v>2094</v>
      </c>
      <c r="AT23" s="197" t="s">
        <v>1459</v>
      </c>
      <c r="AU23" s="1" t="s">
        <v>1460</v>
      </c>
      <c r="AV23" s="1" t="s">
        <v>1461</v>
      </c>
      <c r="AW23" s="1" t="s">
        <v>2154</v>
      </c>
      <c r="AX23" s="3" t="s">
        <v>1303</v>
      </c>
      <c r="AY23" s="405" t="s">
        <v>2096</v>
      </c>
      <c r="AZ23" s="197" t="s">
        <v>1879</v>
      </c>
      <c r="BA23" s="2" t="s">
        <v>1462</v>
      </c>
      <c r="BB23" s="2" t="s">
        <v>2160</v>
      </c>
      <c r="BC23" s="2" t="s">
        <v>1463</v>
      </c>
      <c r="BD23" s="3" t="s">
        <v>690</v>
      </c>
      <c r="BE23" s="197" t="s">
        <v>230</v>
      </c>
      <c r="BF23" s="197" t="s">
        <v>700</v>
      </c>
      <c r="BG23" s="2" t="s">
        <v>3705</v>
      </c>
      <c r="BH23" s="2" t="s">
        <v>1464</v>
      </c>
      <c r="BI23" s="2" t="s">
        <v>1465</v>
      </c>
      <c r="BJ23" s="3" t="s">
        <v>3882</v>
      </c>
      <c r="BK23" s="405" t="s">
        <v>2090</v>
      </c>
      <c r="BL23" s="197" t="s">
        <v>1466</v>
      </c>
      <c r="BM23" s="1" t="s">
        <v>3816</v>
      </c>
      <c r="BN23" s="1" t="s">
        <v>3638</v>
      </c>
      <c r="BO23" s="1" t="s">
        <v>3817</v>
      </c>
      <c r="BP23" s="3" t="s">
        <v>3818</v>
      </c>
      <c r="BQ23" s="405"/>
      <c r="BR23" s="197"/>
      <c r="BS23" s="2"/>
      <c r="BT23" s="2"/>
      <c r="BU23" s="2"/>
      <c r="BV23" s="3"/>
      <c r="BW23" s="197"/>
      <c r="BX23" s="197"/>
      <c r="BY23" s="2"/>
      <c r="BZ23" s="2"/>
      <c r="CA23" s="2"/>
      <c r="CB23" s="3"/>
      <c r="CC23" s="197"/>
      <c r="CD23" s="197"/>
      <c r="CE23" s="2"/>
      <c r="CF23" s="2"/>
      <c r="CG23" s="2"/>
      <c r="CH23" s="3"/>
      <c r="CI23" s="405"/>
      <c r="CJ23" s="197"/>
      <c r="CN23" s="3"/>
      <c r="CO23" s="405"/>
      <c r="CP23" s="197"/>
      <c r="CQ23" s="2"/>
      <c r="CR23" s="2"/>
      <c r="CS23" s="2"/>
      <c r="CT23" s="3"/>
      <c r="CU23" s="280"/>
      <c r="CV23" s="280"/>
      <c r="CW23" s="2"/>
      <c r="CX23" s="2"/>
      <c r="CY23" s="2"/>
      <c r="CZ23" s="2"/>
      <c r="DA23" s="280"/>
      <c r="DB23" s="280"/>
      <c r="DC23" s="2"/>
      <c r="DD23" s="2"/>
      <c r="DE23" s="2"/>
      <c r="DF23" s="2"/>
      <c r="DG23" s="280"/>
      <c r="DH23" s="280"/>
      <c r="DI23" s="2"/>
      <c r="DJ23" s="2"/>
      <c r="DK23" s="2"/>
      <c r="DL23" s="2"/>
      <c r="DM23" s="280"/>
      <c r="DN23" s="280"/>
      <c r="DO23" s="2"/>
      <c r="DP23" s="2"/>
      <c r="DQ23" s="2"/>
      <c r="DR23" s="2"/>
      <c r="DS23" s="280"/>
      <c r="DT23" s="280"/>
      <c r="DU23" s="2"/>
      <c r="DV23" s="2"/>
      <c r="DW23" s="2"/>
      <c r="DX23" s="2"/>
      <c r="DY23" s="280"/>
      <c r="DZ23" s="280"/>
      <c r="EA23" s="2"/>
      <c r="EB23" s="2"/>
      <c r="EC23" s="2"/>
      <c r="ED23" s="2"/>
      <c r="EE23" s="280"/>
      <c r="EF23" s="280"/>
      <c r="EG23" s="2"/>
      <c r="EH23" s="2"/>
      <c r="EI23" s="2"/>
      <c r="EJ23" s="2"/>
      <c r="EK23" s="280"/>
      <c r="EL23" s="280"/>
      <c r="EM23" s="2"/>
      <c r="EN23" s="2"/>
      <c r="EO23" s="2"/>
      <c r="EP23" s="2"/>
      <c r="EQ23" s="280"/>
      <c r="ER23" s="280"/>
      <c r="ES23" s="2"/>
      <c r="ET23" s="2"/>
      <c r="EU23" s="2"/>
      <c r="EV23" s="2"/>
      <c r="EW23" s="280"/>
      <c r="EX23" s="280"/>
      <c r="EY23" s="2"/>
      <c r="EZ23" s="2"/>
      <c r="FA23" s="2"/>
      <c r="FB23" s="2"/>
      <c r="FC23" s="280"/>
      <c r="FD23" s="280"/>
      <c r="FE23" s="2"/>
      <c r="FF23" s="2"/>
      <c r="FG23" s="2"/>
      <c r="FH23" s="2"/>
      <c r="FI23" s="280"/>
      <c r="FJ23" s="280"/>
      <c r="FK23" s="2"/>
      <c r="FL23" s="2"/>
      <c r="FM23" s="2"/>
      <c r="FN23" s="2"/>
      <c r="FO23" s="280"/>
      <c r="FP23" s="280"/>
      <c r="FQ23" s="2"/>
      <c r="FR23" s="2"/>
      <c r="FS23" s="2"/>
      <c r="FT23" s="2"/>
      <c r="FU23" s="280"/>
      <c r="FV23" s="280"/>
      <c r="FW23" s="2"/>
      <c r="FX23" s="2"/>
      <c r="FY23" s="2"/>
      <c r="FZ23" s="2"/>
      <c r="GA23" s="280"/>
      <c r="GB23" s="280"/>
      <c r="GC23" s="2"/>
      <c r="GD23" s="2"/>
      <c r="GE23" s="2"/>
      <c r="GF23" s="2"/>
      <c r="GG23" s="280"/>
      <c r="GH23" s="280"/>
      <c r="GI23" s="2"/>
      <c r="GJ23" s="2"/>
      <c r="GK23" s="2"/>
      <c r="GL23" s="2"/>
      <c r="GM23" s="280"/>
      <c r="GN23" s="280"/>
      <c r="GO23" s="2"/>
      <c r="GP23" s="2"/>
      <c r="GQ23" s="2"/>
      <c r="GR23" s="2"/>
      <c r="GS23" s="280"/>
      <c r="GT23" s="280"/>
      <c r="GU23" s="2"/>
      <c r="GV23" s="2"/>
      <c r="GW23" s="2"/>
      <c r="GX23" s="2"/>
      <c r="GY23" s="280"/>
      <c r="GZ23" s="280"/>
      <c r="HA23" s="2"/>
      <c r="HB23" s="2"/>
      <c r="HC23" s="2"/>
      <c r="HD23" s="2"/>
      <c r="HE23" s="280"/>
      <c r="HF23" s="280"/>
      <c r="HG23" s="2"/>
      <c r="HH23" s="2"/>
      <c r="HI23" s="2"/>
      <c r="HJ23" s="2"/>
    </row>
    <row r="24" spans="1:218" ht="12.9" customHeight="1" x14ac:dyDescent="0.2">
      <c r="A24" s="10" t="str">
        <f>+'Past Quartets 1st - 3rd Place'!A24</f>
        <v>1994</v>
      </c>
      <c r="B24" s="503">
        <f>+'Past Quartets 1st - 3rd Place'!B24</f>
        <v>37</v>
      </c>
      <c r="C24" s="504" t="s">
        <v>805</v>
      </c>
      <c r="D24" s="245" t="s">
        <v>2733</v>
      </c>
      <c r="E24" s="1" t="s">
        <v>3556</v>
      </c>
      <c r="F24" s="1" t="s">
        <v>3557</v>
      </c>
      <c r="G24" s="1" t="s">
        <v>3558</v>
      </c>
      <c r="H24" s="3" t="s">
        <v>3559</v>
      </c>
      <c r="I24" s="405" t="s">
        <v>2105</v>
      </c>
      <c r="J24" s="245" t="s">
        <v>4041</v>
      </c>
      <c r="K24" s="2" t="s">
        <v>4056</v>
      </c>
      <c r="L24" s="2" t="s">
        <v>3565</v>
      </c>
      <c r="M24" s="2" t="s">
        <v>3566</v>
      </c>
      <c r="N24" s="2" t="s">
        <v>4045</v>
      </c>
      <c r="O24" s="405" t="s">
        <v>3107</v>
      </c>
      <c r="P24" s="197" t="s">
        <v>1310</v>
      </c>
      <c r="Q24" s="1" t="s">
        <v>428</v>
      </c>
      <c r="R24" s="1" t="s">
        <v>3819</v>
      </c>
      <c r="S24" s="1" t="s">
        <v>429</v>
      </c>
      <c r="T24" s="3" t="s">
        <v>1312</v>
      </c>
      <c r="U24" s="197" t="s">
        <v>2638</v>
      </c>
      <c r="V24" s="197" t="s">
        <v>3820</v>
      </c>
      <c r="W24" s="7" t="s">
        <v>3821</v>
      </c>
      <c r="X24" s="2" t="s">
        <v>424</v>
      </c>
      <c r="Y24" s="2" t="s">
        <v>425</v>
      </c>
      <c r="Z24" s="3" t="s">
        <v>261</v>
      </c>
      <c r="AA24" s="405" t="s">
        <v>281</v>
      </c>
      <c r="AB24" s="197" t="s">
        <v>3822</v>
      </c>
      <c r="AC24" s="2" t="s">
        <v>802</v>
      </c>
      <c r="AD24" s="2" t="s">
        <v>1851</v>
      </c>
      <c r="AE24" s="2" t="s">
        <v>1852</v>
      </c>
      <c r="AF24" s="3" t="s">
        <v>758</v>
      </c>
      <c r="AG24" s="405" t="s">
        <v>3672</v>
      </c>
      <c r="AH24" s="197" t="s">
        <v>3823</v>
      </c>
      <c r="AI24" s="1" t="s">
        <v>3674</v>
      </c>
      <c r="AJ24" s="1" t="s">
        <v>3675</v>
      </c>
      <c r="AK24" s="1" t="s">
        <v>3676</v>
      </c>
      <c r="AL24" s="3" t="s">
        <v>1969</v>
      </c>
      <c r="AM24" s="197" t="s">
        <v>1387</v>
      </c>
      <c r="AN24" s="197" t="s">
        <v>3824</v>
      </c>
      <c r="AO24" s="7" t="s">
        <v>131</v>
      </c>
      <c r="AP24" s="2" t="s">
        <v>228</v>
      </c>
      <c r="AQ24" s="2" t="s">
        <v>3602</v>
      </c>
      <c r="AR24" s="3" t="s">
        <v>252</v>
      </c>
      <c r="AS24" s="405" t="s">
        <v>3101</v>
      </c>
      <c r="AT24" s="197" t="s">
        <v>579</v>
      </c>
      <c r="AU24" s="2" t="s">
        <v>822</v>
      </c>
      <c r="AV24" s="2" t="s">
        <v>2796</v>
      </c>
      <c r="AW24" s="2" t="s">
        <v>427</v>
      </c>
      <c r="AX24" s="3" t="s">
        <v>823</v>
      </c>
      <c r="AY24" s="405" t="s">
        <v>2096</v>
      </c>
      <c r="AZ24" s="197" t="s">
        <v>1879</v>
      </c>
      <c r="BA24" s="1" t="s">
        <v>1462</v>
      </c>
      <c r="BB24" s="1" t="s">
        <v>2160</v>
      </c>
      <c r="BC24" s="1" t="s">
        <v>1463</v>
      </c>
      <c r="BD24" s="3" t="s">
        <v>690</v>
      </c>
      <c r="BE24" s="197" t="s">
        <v>3670</v>
      </c>
      <c r="BF24" s="197" t="s">
        <v>4177</v>
      </c>
      <c r="BG24" s="7" t="s">
        <v>3671</v>
      </c>
      <c r="BH24" s="2" t="s">
        <v>869</v>
      </c>
      <c r="BI24" s="2" t="s">
        <v>870</v>
      </c>
      <c r="BJ24" s="3" t="s">
        <v>4033</v>
      </c>
      <c r="BK24" s="405" t="s">
        <v>3100</v>
      </c>
      <c r="BL24" s="197" t="s">
        <v>579</v>
      </c>
      <c r="BM24" s="2" t="s">
        <v>2138</v>
      </c>
      <c r="BN24" s="2" t="s">
        <v>753</v>
      </c>
      <c r="BO24" s="2" t="s">
        <v>2140</v>
      </c>
      <c r="BP24" s="3" t="s">
        <v>3825</v>
      </c>
      <c r="BQ24" s="405"/>
      <c r="BR24" s="197"/>
      <c r="BS24" s="1"/>
      <c r="BT24" s="1"/>
      <c r="BU24" s="1"/>
      <c r="BV24" s="3"/>
      <c r="BW24" s="197"/>
      <c r="BX24" s="197"/>
      <c r="BY24" s="1"/>
      <c r="BZ24" s="1"/>
      <c r="CA24" s="1"/>
      <c r="CB24" s="3"/>
      <c r="CC24" s="197"/>
      <c r="CD24" s="197"/>
      <c r="CE24" s="7"/>
      <c r="CF24" s="2"/>
      <c r="CG24" s="2"/>
      <c r="CH24" s="3"/>
      <c r="CI24" s="405"/>
      <c r="CJ24" s="197"/>
      <c r="CK24" s="2"/>
      <c r="CL24" s="2"/>
      <c r="CM24" s="2"/>
      <c r="CN24" s="3"/>
      <c r="CO24" s="405"/>
      <c r="CP24" s="197"/>
      <c r="CQ24" s="2"/>
      <c r="CR24" s="2"/>
      <c r="CS24" s="2"/>
      <c r="CT24" s="3"/>
      <c r="CU24" s="280"/>
      <c r="CV24" s="280"/>
      <c r="CW24" s="2"/>
      <c r="CX24" s="2"/>
      <c r="CY24" s="2"/>
      <c r="CZ24" s="2"/>
      <c r="DA24" s="280"/>
      <c r="DB24" s="280"/>
      <c r="DC24" s="2"/>
      <c r="DD24" s="2"/>
      <c r="DE24" s="2"/>
      <c r="DF24" s="2"/>
      <c r="DG24" s="280"/>
      <c r="DH24" s="280"/>
      <c r="DI24" s="2"/>
      <c r="DJ24" s="2"/>
      <c r="DK24" s="2"/>
      <c r="DL24" s="2"/>
      <c r="DM24" s="280"/>
      <c r="DN24" s="280"/>
      <c r="DO24" s="2"/>
      <c r="DP24" s="2"/>
      <c r="DQ24" s="2"/>
      <c r="DR24" s="2"/>
      <c r="DS24" s="280"/>
      <c r="DT24" s="280"/>
      <c r="DU24" s="2"/>
      <c r="DV24" s="2"/>
      <c r="DW24" s="2"/>
      <c r="DX24" s="2"/>
      <c r="DY24" s="280"/>
      <c r="DZ24" s="280"/>
      <c r="EA24" s="2"/>
      <c r="EB24" s="2"/>
      <c r="EC24" s="2"/>
      <c r="ED24" s="2"/>
      <c r="EE24" s="280"/>
      <c r="EF24" s="280"/>
      <c r="EG24" s="2"/>
      <c r="EH24" s="2"/>
      <c r="EI24" s="2"/>
      <c r="EJ24" s="2"/>
      <c r="EK24" s="280"/>
      <c r="EL24" s="280"/>
      <c r="EM24" s="2"/>
      <c r="EN24" s="2"/>
      <c r="EO24" s="2"/>
      <c r="EP24" s="2"/>
      <c r="EQ24" s="280"/>
      <c r="ER24" s="280"/>
      <c r="ES24" s="2"/>
      <c r="ET24" s="2"/>
      <c r="EU24" s="2"/>
      <c r="EV24" s="2"/>
      <c r="EW24" s="280"/>
      <c r="EX24" s="280"/>
      <c r="EY24" s="2"/>
      <c r="EZ24" s="2"/>
      <c r="FA24" s="2"/>
      <c r="FB24" s="2"/>
      <c r="FC24" s="280"/>
      <c r="FD24" s="280"/>
      <c r="FE24" s="2"/>
      <c r="FF24" s="2"/>
      <c r="FG24" s="2"/>
      <c r="FH24" s="2"/>
      <c r="FI24" s="280"/>
      <c r="FJ24" s="280"/>
      <c r="FK24" s="2"/>
      <c r="FL24" s="2"/>
      <c r="FM24" s="2"/>
      <c r="FN24" s="2"/>
      <c r="FO24" s="280"/>
      <c r="FP24" s="280"/>
      <c r="FQ24" s="2"/>
      <c r="FR24" s="2"/>
      <c r="FS24" s="2"/>
      <c r="FT24" s="2"/>
      <c r="FU24" s="280"/>
      <c r="FV24" s="280"/>
      <c r="FW24" s="2"/>
      <c r="FX24" s="2"/>
      <c r="FY24" s="2"/>
      <c r="FZ24" s="2"/>
      <c r="GA24" s="280"/>
      <c r="GB24" s="280"/>
      <c r="GC24" s="2"/>
      <c r="GD24" s="2"/>
      <c r="GE24" s="2"/>
      <c r="GF24" s="2"/>
      <c r="GG24" s="280"/>
      <c r="GH24" s="280"/>
      <c r="GI24" s="2"/>
      <c r="GJ24" s="2"/>
      <c r="GK24" s="2"/>
      <c r="GL24" s="2"/>
      <c r="GM24" s="280"/>
      <c r="GN24" s="280"/>
      <c r="GO24" s="2"/>
      <c r="GP24" s="2"/>
      <c r="GQ24" s="2"/>
      <c r="GR24" s="2"/>
      <c r="GS24" s="280"/>
      <c r="GT24" s="280"/>
      <c r="GU24" s="2"/>
      <c r="GV24" s="2"/>
      <c r="GW24" s="2"/>
      <c r="GX24" s="2"/>
      <c r="GY24" s="280"/>
      <c r="GZ24" s="280"/>
      <c r="HA24" s="2"/>
      <c r="HB24" s="2"/>
      <c r="HC24" s="2"/>
      <c r="HD24" s="2"/>
      <c r="HE24" s="280"/>
      <c r="HF24" s="280"/>
      <c r="HG24" s="2"/>
      <c r="HH24" s="2"/>
      <c r="HI24" s="2"/>
      <c r="HJ24" s="2"/>
    </row>
    <row r="25" spans="1:218" ht="12.9" customHeight="1" x14ac:dyDescent="0.2">
      <c r="A25" s="10" t="str">
        <f>+'Past Quartets 1st - 3rd Place'!A25</f>
        <v>1995</v>
      </c>
      <c r="B25" s="503">
        <f>+'Past Quartets 1st - 3rd Place'!B25</f>
        <v>35</v>
      </c>
      <c r="C25" s="504" t="s">
        <v>3291</v>
      </c>
      <c r="D25" s="245" t="s">
        <v>3292</v>
      </c>
      <c r="E25" s="7" t="s">
        <v>449</v>
      </c>
      <c r="F25" s="2" t="s">
        <v>2144</v>
      </c>
      <c r="G25" s="2" t="s">
        <v>3705</v>
      </c>
      <c r="H25" s="3" t="s">
        <v>557</v>
      </c>
      <c r="I25" s="405" t="s">
        <v>3109</v>
      </c>
      <c r="J25" s="245" t="s">
        <v>4079</v>
      </c>
      <c r="K25" s="1" t="s">
        <v>4083</v>
      </c>
      <c r="L25" s="1" t="s">
        <v>424</v>
      </c>
      <c r="M25" s="1" t="s">
        <v>425</v>
      </c>
      <c r="N25" s="3" t="s">
        <v>258</v>
      </c>
      <c r="O25" s="405" t="s">
        <v>805</v>
      </c>
      <c r="P25" s="197" t="s">
        <v>3826</v>
      </c>
      <c r="Q25" s="1" t="s">
        <v>3527</v>
      </c>
      <c r="R25" s="1" t="s">
        <v>3557</v>
      </c>
      <c r="S25" s="1" t="s">
        <v>3558</v>
      </c>
      <c r="T25" s="3" t="s">
        <v>220</v>
      </c>
      <c r="U25" s="197" t="s">
        <v>3116</v>
      </c>
      <c r="V25" s="197" t="s">
        <v>3826</v>
      </c>
      <c r="W25" s="1" t="s">
        <v>3568</v>
      </c>
      <c r="X25" s="1" t="s">
        <v>3569</v>
      </c>
      <c r="Y25" s="1" t="s">
        <v>807</v>
      </c>
      <c r="Z25" s="3" t="s">
        <v>3570</v>
      </c>
      <c r="AA25" s="405" t="s">
        <v>3101</v>
      </c>
      <c r="AB25" s="197" t="s">
        <v>579</v>
      </c>
      <c r="AC25" s="1" t="s">
        <v>822</v>
      </c>
      <c r="AD25" s="1" t="s">
        <v>823</v>
      </c>
      <c r="AE25" s="1" t="s">
        <v>427</v>
      </c>
      <c r="AF25" s="3" t="s">
        <v>2796</v>
      </c>
      <c r="AG25" s="405" t="s">
        <v>3286</v>
      </c>
      <c r="AH25" s="197" t="s">
        <v>3287</v>
      </c>
      <c r="AI25" s="1" t="s">
        <v>223</v>
      </c>
      <c r="AJ25" s="1" t="s">
        <v>3288</v>
      </c>
      <c r="AK25" s="1" t="s">
        <v>3827</v>
      </c>
      <c r="AL25" s="3" t="s">
        <v>2725</v>
      </c>
      <c r="AM25" s="197" t="s">
        <v>3670</v>
      </c>
      <c r="AN25" s="197" t="s">
        <v>4177</v>
      </c>
      <c r="AO25" s="1" t="s">
        <v>3671</v>
      </c>
      <c r="AP25" s="1" t="s">
        <v>869</v>
      </c>
      <c r="AQ25" s="1" t="s">
        <v>870</v>
      </c>
      <c r="AR25" s="3" t="s">
        <v>4033</v>
      </c>
      <c r="AS25" s="405" t="s">
        <v>3672</v>
      </c>
      <c r="AT25" s="197" t="s">
        <v>3828</v>
      </c>
      <c r="AU25" s="1" t="s">
        <v>3674</v>
      </c>
      <c r="AV25" s="1" t="s">
        <v>3675</v>
      </c>
      <c r="AW25" s="1" t="s">
        <v>3676</v>
      </c>
      <c r="AX25" s="3" t="s">
        <v>2950</v>
      </c>
      <c r="AY25" s="405" t="s">
        <v>2135</v>
      </c>
      <c r="AZ25" s="197" t="s">
        <v>4041</v>
      </c>
      <c r="BA25" s="1" t="s">
        <v>4056</v>
      </c>
      <c r="BB25" s="1" t="s">
        <v>2136</v>
      </c>
      <c r="BC25" s="1" t="s">
        <v>3563</v>
      </c>
      <c r="BD25" s="3" t="s">
        <v>4045</v>
      </c>
      <c r="BE25" s="197" t="s">
        <v>3100</v>
      </c>
      <c r="BF25" s="197" t="s">
        <v>579</v>
      </c>
      <c r="BG25" s="1" t="s">
        <v>2138</v>
      </c>
      <c r="BH25" s="1" t="s">
        <v>753</v>
      </c>
      <c r="BI25" s="1" t="s">
        <v>2140</v>
      </c>
      <c r="BJ25" s="3" t="s">
        <v>3825</v>
      </c>
      <c r="BK25" s="405"/>
      <c r="BL25" s="197"/>
      <c r="BP25" s="3"/>
      <c r="BQ25" s="405"/>
      <c r="BR25" s="197"/>
      <c r="BS25" s="1"/>
      <c r="BT25" s="1"/>
      <c r="BU25" s="1"/>
      <c r="BV25" s="3"/>
      <c r="BW25" s="197"/>
      <c r="BX25" s="197"/>
      <c r="BY25" s="1"/>
      <c r="BZ25" s="1"/>
      <c r="CA25" s="1"/>
      <c r="CB25" s="3"/>
      <c r="CC25" s="197"/>
      <c r="CD25" s="197"/>
      <c r="CH25" s="3"/>
      <c r="CI25" s="405"/>
      <c r="CJ25" s="197"/>
      <c r="CN25" s="3"/>
      <c r="CO25" s="405"/>
      <c r="CP25" s="197"/>
      <c r="CQ25" s="2"/>
      <c r="CR25" s="2"/>
      <c r="CS25" s="2"/>
      <c r="CT25" s="3"/>
      <c r="CU25" s="280"/>
      <c r="CV25" s="280"/>
      <c r="CW25" s="2"/>
      <c r="CX25" s="2"/>
      <c r="CY25" s="2"/>
      <c r="CZ25" s="2"/>
      <c r="DA25" s="280"/>
      <c r="DB25" s="280"/>
      <c r="DC25" s="2"/>
      <c r="DD25" s="2"/>
      <c r="DE25" s="2"/>
      <c r="DF25" s="2"/>
      <c r="DG25" s="280"/>
      <c r="DH25" s="280"/>
      <c r="DI25" s="2"/>
      <c r="DJ25" s="2"/>
      <c r="DK25" s="2"/>
      <c r="DL25" s="2"/>
      <c r="DM25" s="280"/>
      <c r="DN25" s="280"/>
      <c r="DO25" s="2"/>
      <c r="DP25" s="2"/>
      <c r="DQ25" s="2"/>
      <c r="DR25" s="2"/>
      <c r="DS25" s="280"/>
      <c r="DT25" s="280"/>
      <c r="DU25" s="2"/>
      <c r="DV25" s="2"/>
      <c r="DW25" s="2"/>
      <c r="DX25" s="2"/>
      <c r="DY25" s="280"/>
      <c r="DZ25" s="280"/>
      <c r="EA25" s="2"/>
      <c r="EB25" s="2"/>
      <c r="EC25" s="2"/>
      <c r="ED25" s="2"/>
      <c r="EE25" s="280"/>
      <c r="EF25" s="280"/>
      <c r="EG25" s="2"/>
      <c r="EH25" s="2"/>
      <c r="EI25" s="2"/>
      <c r="EJ25" s="2"/>
      <c r="EK25" s="280"/>
      <c r="EL25" s="280"/>
      <c r="EM25" s="2"/>
      <c r="EN25" s="2"/>
      <c r="EO25" s="2"/>
      <c r="EP25" s="2"/>
      <c r="EQ25" s="280"/>
      <c r="ER25" s="280"/>
      <c r="ES25" s="2"/>
      <c r="ET25" s="2"/>
      <c r="EU25" s="2"/>
      <c r="EV25" s="2"/>
      <c r="EW25" s="280"/>
      <c r="EX25" s="280"/>
      <c r="EY25" s="2"/>
      <c r="EZ25" s="2"/>
      <c r="FA25" s="2"/>
      <c r="FB25" s="2"/>
      <c r="FC25" s="280"/>
      <c r="FD25" s="280"/>
      <c r="FE25" s="2"/>
      <c r="FF25" s="2"/>
      <c r="FG25" s="2"/>
      <c r="FH25" s="2"/>
      <c r="FI25" s="280"/>
      <c r="FJ25" s="280"/>
      <c r="FK25" s="2"/>
      <c r="FL25" s="2"/>
      <c r="FM25" s="2"/>
      <c r="FN25" s="2"/>
      <c r="FO25" s="280"/>
      <c r="FP25" s="280"/>
      <c r="FQ25" s="2"/>
      <c r="FR25" s="2"/>
      <c r="FS25" s="2"/>
      <c r="FT25" s="2"/>
      <c r="FU25" s="280"/>
      <c r="FV25" s="280"/>
      <c r="FW25" s="2"/>
      <c r="FX25" s="2"/>
      <c r="FY25" s="2"/>
      <c r="FZ25" s="2"/>
      <c r="GA25" s="280"/>
      <c r="GB25" s="280"/>
      <c r="GC25" s="2"/>
      <c r="GD25" s="2"/>
      <c r="GE25" s="2"/>
      <c r="GF25" s="2"/>
      <c r="GG25" s="280"/>
      <c r="GH25" s="280"/>
      <c r="GI25" s="2"/>
      <c r="GJ25" s="2"/>
      <c r="GK25" s="2"/>
      <c r="GL25" s="2"/>
      <c r="GM25" s="280"/>
      <c r="GN25" s="280"/>
      <c r="GO25" s="2"/>
      <c r="GP25" s="2"/>
      <c r="GQ25" s="2"/>
      <c r="GR25" s="2"/>
      <c r="GS25" s="280"/>
      <c r="GT25" s="280"/>
      <c r="GU25" s="2"/>
      <c r="GV25" s="2"/>
      <c r="GW25" s="2"/>
      <c r="GX25" s="2"/>
      <c r="GY25" s="280"/>
      <c r="GZ25" s="280"/>
      <c r="HA25" s="2"/>
      <c r="HB25" s="2"/>
      <c r="HC25" s="2"/>
      <c r="HD25" s="2"/>
      <c r="HE25" s="280"/>
      <c r="HF25" s="280"/>
      <c r="HG25" s="2"/>
      <c r="HH25" s="2"/>
      <c r="HI25" s="2"/>
      <c r="HJ25" s="2"/>
    </row>
    <row r="26" spans="1:218" ht="12.9" customHeight="1" x14ac:dyDescent="0.2">
      <c r="A26" s="10" t="str">
        <f>+'Past Quartets 1st - 3rd Place'!A26</f>
        <v>1996</v>
      </c>
      <c r="B26" s="503">
        <f>+'Past Quartets 1st - 3rd Place'!B26</f>
        <v>41</v>
      </c>
      <c r="C26" s="504" t="s">
        <v>24</v>
      </c>
      <c r="D26" s="245" t="s">
        <v>3684</v>
      </c>
      <c r="E26" s="7" t="s">
        <v>3552</v>
      </c>
      <c r="F26" s="2" t="s">
        <v>3553</v>
      </c>
      <c r="G26" s="2" t="s">
        <v>426</v>
      </c>
      <c r="H26" s="3" t="s">
        <v>3555</v>
      </c>
      <c r="I26" s="405" t="s">
        <v>3101</v>
      </c>
      <c r="J26" s="245" t="s">
        <v>579</v>
      </c>
      <c r="K26" s="7" t="s">
        <v>822</v>
      </c>
      <c r="L26" s="2" t="s">
        <v>823</v>
      </c>
      <c r="M26" s="2" t="s">
        <v>427</v>
      </c>
      <c r="N26" s="3" t="s">
        <v>2796</v>
      </c>
      <c r="O26" s="405" t="s">
        <v>3107</v>
      </c>
      <c r="P26" s="245" t="s">
        <v>1310</v>
      </c>
      <c r="Q26" s="7" t="s">
        <v>428</v>
      </c>
      <c r="R26" s="2" t="s">
        <v>2474</v>
      </c>
      <c r="S26" s="2" t="s">
        <v>429</v>
      </c>
      <c r="T26" s="3" t="s">
        <v>1312</v>
      </c>
      <c r="U26" s="197" t="s">
        <v>3120</v>
      </c>
      <c r="V26" s="197" t="s">
        <v>3826</v>
      </c>
      <c r="W26" s="7" t="s">
        <v>2332</v>
      </c>
      <c r="X26" s="2" t="s">
        <v>807</v>
      </c>
      <c r="Y26" s="2" t="s">
        <v>3083</v>
      </c>
      <c r="Z26" s="3" t="s">
        <v>804</v>
      </c>
      <c r="AA26" s="405" t="s">
        <v>805</v>
      </c>
      <c r="AB26" s="197" t="s">
        <v>3826</v>
      </c>
      <c r="AC26" s="7" t="s">
        <v>3527</v>
      </c>
      <c r="AD26" s="2" t="s">
        <v>3557</v>
      </c>
      <c r="AE26" s="2" t="s">
        <v>3558</v>
      </c>
      <c r="AF26" s="3" t="s">
        <v>220</v>
      </c>
      <c r="AG26" s="405" t="s">
        <v>2137</v>
      </c>
      <c r="AH26" s="197" t="s">
        <v>579</v>
      </c>
      <c r="AI26" s="2" t="s">
        <v>2138</v>
      </c>
      <c r="AJ26" s="2" t="s">
        <v>2139</v>
      </c>
      <c r="AK26" s="2" t="s">
        <v>2140</v>
      </c>
      <c r="AL26" s="3" t="s">
        <v>2141</v>
      </c>
      <c r="AM26" s="197" t="s">
        <v>3117</v>
      </c>
      <c r="AN26" s="197" t="s">
        <v>3826</v>
      </c>
      <c r="AO26" s="7" t="s">
        <v>3568</v>
      </c>
      <c r="AP26" s="2" t="s">
        <v>3569</v>
      </c>
      <c r="AQ26" s="2" t="s">
        <v>3829</v>
      </c>
      <c r="AR26" s="3" t="s">
        <v>3570</v>
      </c>
      <c r="AS26" s="405" t="s">
        <v>2135</v>
      </c>
      <c r="AT26" s="197" t="s">
        <v>4041</v>
      </c>
      <c r="AU26" s="7" t="s">
        <v>4056</v>
      </c>
      <c r="AV26" s="2" t="s">
        <v>2136</v>
      </c>
      <c r="AW26" s="2" t="s">
        <v>3563</v>
      </c>
      <c r="AX26" s="3" t="s">
        <v>4045</v>
      </c>
      <c r="AY26" s="405" t="s">
        <v>3670</v>
      </c>
      <c r="AZ26" s="197" t="s">
        <v>4177</v>
      </c>
      <c r="BA26" s="2" t="s">
        <v>3671</v>
      </c>
      <c r="BB26" s="2" t="s">
        <v>869</v>
      </c>
      <c r="BC26" s="2" t="s">
        <v>870</v>
      </c>
      <c r="BD26" s="3" t="s">
        <v>4033</v>
      </c>
      <c r="BE26" s="197" t="s">
        <v>1321</v>
      </c>
      <c r="BF26" s="197" t="s">
        <v>3830</v>
      </c>
      <c r="BG26" s="7" t="s">
        <v>1301</v>
      </c>
      <c r="BH26" s="2" t="s">
        <v>3576</v>
      </c>
      <c r="BI26" s="2" t="s">
        <v>3511</v>
      </c>
      <c r="BJ26" s="3" t="s">
        <v>37</v>
      </c>
      <c r="BK26" s="405"/>
      <c r="BL26" s="197"/>
      <c r="BM26" s="7"/>
      <c r="BN26" s="2"/>
      <c r="BO26" s="2"/>
      <c r="BP26" s="3"/>
      <c r="BQ26" s="405"/>
      <c r="BR26" s="197"/>
      <c r="BS26" s="2"/>
      <c r="BT26" s="2"/>
      <c r="BU26" s="2"/>
      <c r="BV26" s="3"/>
      <c r="BW26" s="197"/>
      <c r="BX26" s="197"/>
      <c r="BY26" s="2"/>
      <c r="BZ26" s="2"/>
      <c r="CA26" s="2"/>
      <c r="CB26" s="3"/>
      <c r="CC26" s="197"/>
      <c r="CD26" s="197"/>
      <c r="CE26" s="7"/>
      <c r="CF26" s="2"/>
      <c r="CG26" s="2"/>
      <c r="CH26" s="3"/>
      <c r="CI26" s="405"/>
      <c r="CJ26" s="197"/>
      <c r="CK26" s="7"/>
      <c r="CL26" s="2"/>
      <c r="CM26" s="2"/>
      <c r="CN26" s="3"/>
      <c r="CO26" s="405"/>
      <c r="CP26" s="197"/>
      <c r="CQ26" s="2"/>
      <c r="CR26" s="2"/>
      <c r="CS26" s="2"/>
      <c r="CT26" s="3"/>
      <c r="CU26" s="280"/>
      <c r="CV26" s="280"/>
      <c r="CW26" s="2"/>
      <c r="CX26" s="2"/>
      <c r="CY26" s="2"/>
      <c r="CZ26" s="2"/>
      <c r="DA26" s="280"/>
      <c r="DB26" s="280"/>
      <c r="DC26" s="2"/>
      <c r="DD26" s="2"/>
      <c r="DE26" s="2"/>
      <c r="DF26" s="2"/>
      <c r="DG26" s="280"/>
      <c r="DH26" s="280"/>
      <c r="DI26" s="2"/>
      <c r="DJ26" s="2"/>
      <c r="DK26" s="2"/>
      <c r="DL26" s="2"/>
      <c r="DM26" s="280"/>
      <c r="DN26" s="280"/>
      <c r="DO26" s="2"/>
      <c r="DP26" s="2"/>
      <c r="DQ26" s="2"/>
      <c r="DR26" s="2"/>
      <c r="DS26" s="280"/>
      <c r="DT26" s="280"/>
      <c r="DU26" s="2"/>
      <c r="DV26" s="2"/>
      <c r="DW26" s="2"/>
      <c r="DX26" s="2"/>
      <c r="DY26" s="280"/>
      <c r="DZ26" s="280"/>
      <c r="EA26" s="2"/>
      <c r="EB26" s="2"/>
      <c r="EC26" s="2"/>
      <c r="ED26" s="2"/>
      <c r="EE26" s="280"/>
      <c r="EF26" s="280"/>
      <c r="EG26" s="2"/>
      <c r="EH26" s="2"/>
      <c r="EI26" s="2"/>
      <c r="EJ26" s="2"/>
      <c r="EK26" s="280"/>
      <c r="EL26" s="280"/>
      <c r="EM26" s="2"/>
      <c r="EN26" s="2"/>
      <c r="EO26" s="2"/>
      <c r="EP26" s="2"/>
      <c r="EQ26" s="280"/>
      <c r="ER26" s="280"/>
      <c r="ES26" s="2"/>
      <c r="ET26" s="2"/>
      <c r="EU26" s="2"/>
      <c r="EV26" s="2"/>
      <c r="EW26" s="280"/>
      <c r="EX26" s="280"/>
      <c r="EY26" s="2"/>
      <c r="EZ26" s="2"/>
      <c r="FA26" s="2"/>
      <c r="FB26" s="2"/>
      <c r="FC26" s="280"/>
      <c r="FD26" s="280"/>
      <c r="FE26" s="2"/>
      <c r="FF26" s="2"/>
      <c r="FG26" s="2"/>
      <c r="FH26" s="2"/>
      <c r="FI26" s="280"/>
      <c r="FJ26" s="280"/>
      <c r="FK26" s="2"/>
      <c r="FL26" s="2"/>
      <c r="FM26" s="2"/>
      <c r="FN26" s="2"/>
      <c r="FO26" s="280"/>
      <c r="FP26" s="280"/>
      <c r="FQ26" s="2"/>
      <c r="FR26" s="2"/>
      <c r="FS26" s="2"/>
      <c r="FT26" s="2"/>
      <c r="FU26" s="280"/>
      <c r="FV26" s="280"/>
      <c r="FW26" s="2"/>
      <c r="FX26" s="2"/>
      <c r="FY26" s="2"/>
      <c r="FZ26" s="2"/>
      <c r="GA26" s="280"/>
      <c r="GB26" s="280"/>
      <c r="GC26" s="2"/>
      <c r="GD26" s="2"/>
      <c r="GE26" s="2"/>
      <c r="GF26" s="2"/>
      <c r="GG26" s="280"/>
      <c r="GH26" s="280"/>
      <c r="GI26" s="2"/>
      <c r="GJ26" s="2"/>
      <c r="GK26" s="2"/>
      <c r="GL26" s="2"/>
      <c r="GM26" s="280"/>
      <c r="GN26" s="280"/>
      <c r="GO26" s="2"/>
      <c r="GP26" s="2"/>
      <c r="GQ26" s="2"/>
      <c r="GR26" s="2"/>
      <c r="GS26" s="280"/>
      <c r="GT26" s="280"/>
      <c r="GU26" s="2"/>
      <c r="GV26" s="2"/>
      <c r="GW26" s="2"/>
      <c r="GX26" s="2"/>
      <c r="GY26" s="280"/>
      <c r="GZ26" s="280"/>
      <c r="HA26" s="2"/>
      <c r="HB26" s="2"/>
      <c r="HC26" s="2"/>
      <c r="HD26" s="2"/>
      <c r="HE26" s="280"/>
      <c r="HF26" s="280"/>
      <c r="HG26" s="2"/>
      <c r="HH26" s="2"/>
      <c r="HI26" s="2"/>
      <c r="HJ26" s="2"/>
    </row>
    <row r="27" spans="1:218" ht="12.9" customHeight="1" x14ac:dyDescent="0.2">
      <c r="A27" s="10" t="str">
        <f>+'Past Quartets 1st - 3rd Place'!A27</f>
        <v>1997</v>
      </c>
      <c r="B27" s="503">
        <f>+'Past Quartets 1st - 3rd Place'!B27</f>
        <v>31</v>
      </c>
      <c r="C27" s="504" t="s">
        <v>2145</v>
      </c>
      <c r="D27" s="245" t="s">
        <v>2146</v>
      </c>
      <c r="E27" s="7" t="s">
        <v>812</v>
      </c>
      <c r="F27" s="2" t="s">
        <v>813</v>
      </c>
      <c r="G27" s="2" t="s">
        <v>2674</v>
      </c>
      <c r="H27" s="3" t="s">
        <v>3534</v>
      </c>
      <c r="I27" s="405" t="s">
        <v>3107</v>
      </c>
      <c r="J27" s="245" t="s">
        <v>1310</v>
      </c>
      <c r="K27" s="7" t="s">
        <v>428</v>
      </c>
      <c r="L27" s="2" t="s">
        <v>3831</v>
      </c>
      <c r="M27" s="2" t="s">
        <v>429</v>
      </c>
      <c r="N27" s="3" t="s">
        <v>2474</v>
      </c>
      <c r="O27" s="405" t="s">
        <v>2135</v>
      </c>
      <c r="P27" s="197" t="s">
        <v>4041</v>
      </c>
      <c r="Q27" s="2" t="s">
        <v>4056</v>
      </c>
      <c r="R27" s="2" t="s">
        <v>2136</v>
      </c>
      <c r="S27" s="2" t="s">
        <v>808</v>
      </c>
      <c r="T27" s="3" t="s">
        <v>4045</v>
      </c>
      <c r="U27" s="197" t="s">
        <v>24</v>
      </c>
      <c r="V27" s="197" t="s">
        <v>3832</v>
      </c>
      <c r="W27" s="1" t="s">
        <v>3552</v>
      </c>
      <c r="X27" s="1" t="s">
        <v>3553</v>
      </c>
      <c r="Y27" s="1" t="s">
        <v>426</v>
      </c>
      <c r="Z27" s="3" t="s">
        <v>3833</v>
      </c>
      <c r="AA27" s="405" t="s">
        <v>3120</v>
      </c>
      <c r="AB27" s="197" t="s">
        <v>3826</v>
      </c>
      <c r="AC27" s="7" t="s">
        <v>2332</v>
      </c>
      <c r="AD27" s="2" t="s">
        <v>807</v>
      </c>
      <c r="AE27" s="2" t="s">
        <v>3083</v>
      </c>
      <c r="AF27" s="3" t="s">
        <v>804</v>
      </c>
      <c r="AG27" s="405" t="s">
        <v>1635</v>
      </c>
      <c r="AH27" s="197" t="s">
        <v>3834</v>
      </c>
      <c r="AI27" s="2" t="s">
        <v>1637</v>
      </c>
      <c r="AJ27" s="2" t="s">
        <v>4083</v>
      </c>
      <c r="AK27" s="2" t="s">
        <v>1639</v>
      </c>
      <c r="AL27" s="3" t="s">
        <v>252</v>
      </c>
      <c r="AM27" s="197" t="s">
        <v>2137</v>
      </c>
      <c r="AN27" s="197" t="s">
        <v>579</v>
      </c>
      <c r="AO27" s="1" t="s">
        <v>2138</v>
      </c>
      <c r="AP27" s="1" t="s">
        <v>2139</v>
      </c>
      <c r="AQ27" s="1" t="s">
        <v>2140</v>
      </c>
      <c r="AR27" s="3" t="s">
        <v>2141</v>
      </c>
      <c r="AS27" s="405" t="s">
        <v>3670</v>
      </c>
      <c r="AT27" s="197" t="s">
        <v>4177</v>
      </c>
      <c r="AU27" s="7" t="s">
        <v>3671</v>
      </c>
      <c r="AV27" s="2" t="s">
        <v>869</v>
      </c>
      <c r="AW27" s="2" t="s">
        <v>870</v>
      </c>
      <c r="AX27" s="3" t="s">
        <v>4033</v>
      </c>
      <c r="AY27" s="405" t="s">
        <v>805</v>
      </c>
      <c r="AZ27" s="197" t="s">
        <v>3826</v>
      </c>
      <c r="BA27" s="2" t="s">
        <v>3527</v>
      </c>
      <c r="BB27" s="2" t="s">
        <v>3557</v>
      </c>
      <c r="BC27" s="2" t="s">
        <v>3558</v>
      </c>
      <c r="BD27" s="3" t="s">
        <v>220</v>
      </c>
      <c r="BE27" s="197" t="s">
        <v>3101</v>
      </c>
      <c r="BF27" s="197" t="s">
        <v>579</v>
      </c>
      <c r="BG27" s="1" t="s">
        <v>822</v>
      </c>
      <c r="BH27" s="1" t="s">
        <v>823</v>
      </c>
      <c r="BI27" s="1" t="s">
        <v>427</v>
      </c>
      <c r="BJ27" s="3" t="s">
        <v>2796</v>
      </c>
      <c r="BK27" s="405"/>
      <c r="BL27" s="197"/>
      <c r="BM27" s="7"/>
      <c r="BN27" s="2"/>
      <c r="BO27" s="2"/>
      <c r="BP27" s="3"/>
      <c r="BQ27" s="405"/>
      <c r="BR27" s="197"/>
      <c r="BS27" s="2"/>
      <c r="BT27" s="2"/>
      <c r="BU27" s="2"/>
      <c r="BV27" s="3"/>
      <c r="BW27" s="197"/>
      <c r="BX27" s="197"/>
      <c r="BY27" s="2"/>
      <c r="BZ27" s="2"/>
      <c r="CA27" s="2"/>
      <c r="CB27" s="3"/>
      <c r="CC27" s="197"/>
      <c r="CD27" s="197"/>
      <c r="CH27" s="3"/>
      <c r="CI27" s="405"/>
      <c r="CJ27" s="197"/>
      <c r="CK27" s="7"/>
      <c r="CL27" s="2"/>
      <c r="CM27" s="2"/>
      <c r="CN27" s="3"/>
      <c r="CO27" s="405"/>
      <c r="CP27" s="197"/>
      <c r="CQ27" s="2"/>
      <c r="CR27" s="2"/>
      <c r="CS27" s="2"/>
      <c r="CT27" s="3"/>
      <c r="CU27" s="280"/>
      <c r="CV27" s="280"/>
      <c r="CW27" s="2"/>
      <c r="CX27" s="2"/>
      <c r="CY27" s="2"/>
      <c r="CZ27" s="2"/>
      <c r="DA27" s="280"/>
      <c r="DB27" s="280"/>
      <c r="DC27" s="2"/>
      <c r="DD27" s="2"/>
      <c r="DE27" s="2"/>
      <c r="DF27" s="2"/>
      <c r="DG27" s="280"/>
      <c r="DH27" s="280"/>
      <c r="DI27" s="2"/>
      <c r="DJ27" s="2"/>
      <c r="DK27" s="2"/>
      <c r="DL27" s="2"/>
      <c r="DM27" s="280"/>
      <c r="DN27" s="280"/>
      <c r="DO27" s="2"/>
      <c r="DP27" s="2"/>
      <c r="DQ27" s="2"/>
      <c r="DR27" s="2"/>
      <c r="DS27" s="280"/>
      <c r="DT27" s="280"/>
      <c r="DU27" s="2"/>
      <c r="DV27" s="2"/>
      <c r="DW27" s="2"/>
      <c r="DX27" s="2"/>
      <c r="DY27" s="280"/>
      <c r="DZ27" s="280"/>
      <c r="EA27" s="2"/>
      <c r="EB27" s="2"/>
      <c r="EC27" s="2"/>
      <c r="ED27" s="2"/>
      <c r="EE27" s="280"/>
      <c r="EF27" s="280"/>
      <c r="EG27" s="2"/>
      <c r="EH27" s="2"/>
      <c r="EI27" s="2"/>
      <c r="EJ27" s="2"/>
      <c r="EK27" s="280"/>
      <c r="EL27" s="280"/>
      <c r="EM27" s="2"/>
      <c r="EN27" s="2"/>
      <c r="EO27" s="2"/>
      <c r="EP27" s="2"/>
      <c r="EQ27" s="280"/>
      <c r="ER27" s="280"/>
      <c r="ES27" s="2"/>
      <c r="ET27" s="2"/>
      <c r="EU27" s="2"/>
      <c r="EV27" s="2"/>
      <c r="EW27" s="280"/>
      <c r="EX27" s="280"/>
      <c r="EY27" s="2"/>
      <c r="EZ27" s="2"/>
      <c r="FA27" s="2"/>
      <c r="FB27" s="2"/>
      <c r="FC27" s="280"/>
      <c r="FD27" s="280"/>
      <c r="FE27" s="2"/>
      <c r="FF27" s="2"/>
      <c r="FG27" s="2"/>
      <c r="FH27" s="2"/>
      <c r="FI27" s="280"/>
      <c r="FJ27" s="280"/>
      <c r="FK27" s="2"/>
      <c r="FL27" s="2"/>
      <c r="FM27" s="2"/>
      <c r="FN27" s="2"/>
      <c r="FO27" s="280"/>
      <c r="FP27" s="280"/>
      <c r="FQ27" s="2"/>
      <c r="FR27" s="2"/>
      <c r="FS27" s="2"/>
      <c r="FT27" s="2"/>
      <c r="FU27" s="280"/>
      <c r="FV27" s="280"/>
      <c r="FW27" s="2"/>
      <c r="FX27" s="2"/>
      <c r="FY27" s="2"/>
      <c r="FZ27" s="2"/>
      <c r="GA27" s="280"/>
      <c r="GB27" s="280"/>
      <c r="GC27" s="2"/>
      <c r="GD27" s="2"/>
      <c r="GE27" s="2"/>
      <c r="GF27" s="2"/>
      <c r="GG27" s="280"/>
      <c r="GH27" s="280"/>
      <c r="GI27" s="2"/>
      <c r="GJ27" s="2"/>
      <c r="GK27" s="2"/>
      <c r="GL27" s="2"/>
      <c r="GM27" s="280"/>
      <c r="GN27" s="280"/>
      <c r="GO27" s="2"/>
      <c r="GP27" s="2"/>
      <c r="GQ27" s="2"/>
      <c r="GR27" s="2"/>
      <c r="GS27" s="280"/>
      <c r="GT27" s="280"/>
      <c r="GU27" s="2"/>
      <c r="GV27" s="2"/>
      <c r="GW27" s="2"/>
      <c r="GX27" s="2"/>
      <c r="GY27" s="280"/>
      <c r="GZ27" s="280"/>
      <c r="HA27" s="2"/>
      <c r="HB27" s="2"/>
      <c r="HC27" s="2"/>
      <c r="HD27" s="2"/>
      <c r="HE27" s="280"/>
      <c r="HF27" s="280"/>
      <c r="HG27" s="2"/>
      <c r="HH27" s="2"/>
      <c r="HI27" s="2"/>
      <c r="HJ27" s="2"/>
    </row>
    <row r="28" spans="1:218" ht="12.9" customHeight="1" x14ac:dyDescent="0.2">
      <c r="A28" s="10" t="str">
        <f>+'Past Quartets 1st - 3rd Place'!A28</f>
        <v>1998</v>
      </c>
      <c r="B28" s="503">
        <f>+'Past Quartets 1st - 3rd Place'!B28</f>
        <v>30</v>
      </c>
      <c r="C28" s="504" t="s">
        <v>815</v>
      </c>
      <c r="D28" s="245" t="s">
        <v>2361</v>
      </c>
      <c r="E28" s="2" t="s">
        <v>3687</v>
      </c>
      <c r="F28" s="2" t="s">
        <v>3688</v>
      </c>
      <c r="G28" s="2" t="s">
        <v>3689</v>
      </c>
      <c r="H28" s="3" t="s">
        <v>3690</v>
      </c>
      <c r="I28" s="529" t="s">
        <v>2137</v>
      </c>
      <c r="J28" s="245" t="s">
        <v>579</v>
      </c>
      <c r="K28" s="2" t="s">
        <v>2138</v>
      </c>
      <c r="L28" s="2" t="s">
        <v>2139</v>
      </c>
      <c r="M28" s="2" t="s">
        <v>2140</v>
      </c>
      <c r="N28" s="3" t="s">
        <v>2141</v>
      </c>
      <c r="O28" s="405" t="s">
        <v>24</v>
      </c>
      <c r="P28" s="197" t="s">
        <v>3835</v>
      </c>
      <c r="Q28" s="2" t="s">
        <v>3552</v>
      </c>
      <c r="R28" s="2" t="s">
        <v>3553</v>
      </c>
      <c r="S28" s="2" t="s">
        <v>426</v>
      </c>
      <c r="T28" s="3" t="s">
        <v>3555</v>
      </c>
      <c r="U28" s="197" t="s">
        <v>3101</v>
      </c>
      <c r="V28" s="197" t="s">
        <v>579</v>
      </c>
      <c r="W28" s="1" t="s">
        <v>822</v>
      </c>
      <c r="X28" s="1" t="s">
        <v>823</v>
      </c>
      <c r="Y28" s="1" t="s">
        <v>427</v>
      </c>
      <c r="Z28" s="3" t="s">
        <v>2796</v>
      </c>
      <c r="AA28" s="405" t="s">
        <v>1550</v>
      </c>
      <c r="AB28" s="197" t="s">
        <v>3836</v>
      </c>
      <c r="AC28" s="7" t="s">
        <v>3837</v>
      </c>
      <c r="AD28" s="2" t="s">
        <v>3601</v>
      </c>
      <c r="AE28" s="2" t="s">
        <v>2466</v>
      </c>
      <c r="AF28" s="3" t="s">
        <v>3838</v>
      </c>
      <c r="AG28" s="405" t="s">
        <v>2145</v>
      </c>
      <c r="AH28" s="197" t="s">
        <v>1636</v>
      </c>
      <c r="AI28" s="2" t="s">
        <v>3081</v>
      </c>
      <c r="AJ28" s="2" t="s">
        <v>813</v>
      </c>
      <c r="AK28" s="2" t="s">
        <v>814</v>
      </c>
      <c r="AL28" s="3" t="s">
        <v>3534</v>
      </c>
      <c r="AM28" s="197" t="s">
        <v>2348</v>
      </c>
      <c r="AN28" s="197" t="s">
        <v>148</v>
      </c>
      <c r="AO28" s="1" t="s">
        <v>2527</v>
      </c>
      <c r="AP28" s="1" t="s">
        <v>2472</v>
      </c>
      <c r="AQ28" s="1" t="s">
        <v>3839</v>
      </c>
      <c r="AR28" s="3" t="s">
        <v>3911</v>
      </c>
      <c r="AS28" s="405" t="s">
        <v>2241</v>
      </c>
      <c r="AT28" s="197" t="s">
        <v>3826</v>
      </c>
      <c r="AU28" s="7" t="s">
        <v>3840</v>
      </c>
      <c r="AV28" s="2" t="s">
        <v>3841</v>
      </c>
      <c r="AW28" s="2" t="s">
        <v>3083</v>
      </c>
      <c r="AX28" s="3" t="s">
        <v>804</v>
      </c>
      <c r="AY28" s="405" t="s">
        <v>3098</v>
      </c>
      <c r="AZ28" s="197" t="s">
        <v>3842</v>
      </c>
      <c r="BA28" s="2" t="s">
        <v>3843</v>
      </c>
      <c r="BB28" s="2" t="s">
        <v>3844</v>
      </c>
      <c r="BC28" s="2" t="s">
        <v>3845</v>
      </c>
      <c r="BD28" s="3" t="s">
        <v>3368</v>
      </c>
      <c r="BE28" s="197" t="s">
        <v>2242</v>
      </c>
      <c r="BF28" s="197" t="s">
        <v>2668</v>
      </c>
      <c r="BG28" s="1" t="s">
        <v>2965</v>
      </c>
      <c r="BH28" s="1" t="s">
        <v>184</v>
      </c>
      <c r="BI28" s="1" t="s">
        <v>3876</v>
      </c>
      <c r="BJ28" s="3" t="s">
        <v>3846</v>
      </c>
      <c r="BK28" s="405"/>
      <c r="BL28" s="197"/>
      <c r="BM28" s="7"/>
      <c r="BN28" s="2"/>
      <c r="BO28" s="2"/>
      <c r="BP28" s="3"/>
      <c r="BQ28" s="405"/>
      <c r="BR28" s="197"/>
      <c r="BS28" s="2"/>
      <c r="BT28" s="2"/>
      <c r="BU28" s="2"/>
      <c r="BV28" s="3"/>
      <c r="BW28" s="197"/>
      <c r="BX28" s="197"/>
      <c r="BY28" s="2"/>
      <c r="BZ28" s="2"/>
      <c r="CA28" s="2"/>
      <c r="CB28" s="3"/>
      <c r="CC28" s="197"/>
      <c r="CD28" s="197"/>
      <c r="CH28" s="3"/>
      <c r="CI28" s="405"/>
      <c r="CJ28" s="197"/>
      <c r="CK28" s="2"/>
      <c r="CL28" s="2"/>
      <c r="CM28" s="2"/>
      <c r="CN28" s="3"/>
      <c r="CO28" s="405"/>
      <c r="CP28" s="197"/>
      <c r="CQ28" s="2"/>
      <c r="CR28" s="2"/>
      <c r="CS28" s="2"/>
      <c r="CT28" s="3"/>
      <c r="CU28" s="280"/>
      <c r="CV28" s="280"/>
      <c r="CW28" s="2"/>
      <c r="CX28" s="2"/>
      <c r="CY28" s="2"/>
      <c r="CZ28" s="2"/>
      <c r="DA28" s="280"/>
      <c r="DB28" s="280"/>
      <c r="DC28" s="2"/>
      <c r="DD28" s="2"/>
      <c r="DE28" s="2"/>
      <c r="DF28" s="2"/>
      <c r="DG28" s="280"/>
      <c r="DH28" s="280"/>
      <c r="DI28" s="2"/>
      <c r="DJ28" s="2"/>
      <c r="DK28" s="2"/>
      <c r="DL28" s="2"/>
      <c r="DM28" s="280"/>
      <c r="DN28" s="280"/>
      <c r="DO28" s="2"/>
      <c r="DP28" s="2"/>
      <c r="DQ28" s="2"/>
      <c r="DR28" s="2"/>
      <c r="DS28" s="280"/>
      <c r="DT28" s="280"/>
      <c r="DU28" s="2"/>
      <c r="DV28" s="2"/>
      <c r="DW28" s="2"/>
      <c r="DX28" s="2"/>
      <c r="DY28" s="280"/>
      <c r="DZ28" s="280"/>
      <c r="EA28" s="2"/>
      <c r="EB28" s="2"/>
      <c r="EC28" s="2"/>
      <c r="ED28" s="2"/>
      <c r="EE28" s="280"/>
      <c r="EF28" s="280"/>
      <c r="EG28" s="2"/>
      <c r="EH28" s="2"/>
      <c r="EI28" s="2"/>
      <c r="EJ28" s="2"/>
      <c r="EK28" s="280"/>
      <c r="EL28" s="280"/>
      <c r="EM28" s="2"/>
      <c r="EN28" s="2"/>
      <c r="EO28" s="2"/>
      <c r="EP28" s="2"/>
      <c r="EQ28" s="280"/>
      <c r="ER28" s="280"/>
      <c r="ES28" s="2"/>
      <c r="ET28" s="2"/>
      <c r="EU28" s="2"/>
      <c r="EV28" s="2"/>
      <c r="EW28" s="280"/>
      <c r="EX28" s="280"/>
      <c r="EY28" s="2"/>
      <c r="EZ28" s="2"/>
      <c r="FA28" s="2"/>
      <c r="FB28" s="2"/>
      <c r="FC28" s="280"/>
      <c r="FD28" s="280"/>
      <c r="FE28" s="2"/>
      <c r="FF28" s="2"/>
      <c r="FG28" s="2"/>
      <c r="FH28" s="2"/>
      <c r="FI28" s="280"/>
      <c r="FJ28" s="280"/>
      <c r="FK28" s="2"/>
      <c r="FL28" s="2"/>
      <c r="FM28" s="2"/>
      <c r="FN28" s="2"/>
      <c r="FO28" s="280"/>
      <c r="FP28" s="280"/>
      <c r="FQ28" s="2"/>
      <c r="FR28" s="2"/>
      <c r="FS28" s="2"/>
      <c r="FT28" s="2"/>
      <c r="FU28" s="280"/>
      <c r="FV28" s="280"/>
      <c r="FW28" s="2"/>
      <c r="FX28" s="2"/>
      <c r="FY28" s="2"/>
      <c r="FZ28" s="2"/>
      <c r="GA28" s="280"/>
      <c r="GB28" s="280"/>
      <c r="GC28" s="2"/>
      <c r="GD28" s="2"/>
      <c r="GE28" s="2"/>
      <c r="GF28" s="2"/>
      <c r="GG28" s="280"/>
      <c r="GH28" s="280"/>
      <c r="GI28" s="2"/>
      <c r="GJ28" s="2"/>
      <c r="GK28" s="2"/>
      <c r="GL28" s="2"/>
      <c r="GM28" s="280"/>
      <c r="GN28" s="280"/>
      <c r="GO28" s="2"/>
      <c r="GP28" s="2"/>
      <c r="GQ28" s="2"/>
      <c r="GR28" s="2"/>
      <c r="GS28" s="280"/>
      <c r="GT28" s="280"/>
      <c r="GU28" s="2"/>
      <c r="GV28" s="2"/>
      <c r="GW28" s="2"/>
      <c r="GX28" s="2"/>
      <c r="GY28" s="280"/>
      <c r="GZ28" s="280"/>
      <c r="HA28" s="2"/>
      <c r="HB28" s="2"/>
      <c r="HC28" s="2"/>
      <c r="HD28" s="2"/>
      <c r="HE28" s="280"/>
      <c r="HF28" s="280"/>
      <c r="HG28" s="2"/>
      <c r="HH28" s="2"/>
      <c r="HI28" s="2"/>
      <c r="HJ28" s="2"/>
    </row>
    <row r="29" spans="1:218" ht="12.9" customHeight="1" x14ac:dyDescent="0.2">
      <c r="A29" s="10" t="str">
        <f>+'Past Quartets 1st - 3rd Place'!A29</f>
        <v>1999</v>
      </c>
      <c r="B29" s="503">
        <f>+'Past Quartets 1st - 3rd Place'!B29</f>
        <v>38</v>
      </c>
      <c r="C29" s="504" t="s">
        <v>3572</v>
      </c>
      <c r="D29" s="197" t="s">
        <v>1400</v>
      </c>
      <c r="E29" s="7" t="s">
        <v>819</v>
      </c>
      <c r="F29" s="2" t="s">
        <v>423</v>
      </c>
      <c r="G29" s="2" t="s">
        <v>1313</v>
      </c>
      <c r="H29" s="3" t="s">
        <v>457</v>
      </c>
      <c r="I29" s="405" t="s">
        <v>1066</v>
      </c>
      <c r="J29" s="197" t="s">
        <v>1401</v>
      </c>
      <c r="K29" s="7" t="s">
        <v>3671</v>
      </c>
      <c r="L29" s="1" t="s">
        <v>662</v>
      </c>
      <c r="M29" s="1" t="s">
        <v>1404</v>
      </c>
      <c r="N29" s="3" t="s">
        <v>3519</v>
      </c>
      <c r="O29" s="405" t="s">
        <v>3296</v>
      </c>
      <c r="P29" s="197" t="s">
        <v>3292</v>
      </c>
      <c r="Q29" s="2" t="s">
        <v>145</v>
      </c>
      <c r="R29" s="2" t="s">
        <v>146</v>
      </c>
      <c r="S29" s="2" t="s">
        <v>1615</v>
      </c>
      <c r="T29" s="3" t="s">
        <v>2950</v>
      </c>
      <c r="U29" s="197" t="s">
        <v>3573</v>
      </c>
      <c r="V29" s="197" t="s">
        <v>1402</v>
      </c>
      <c r="W29" s="2" t="s">
        <v>3575</v>
      </c>
      <c r="X29" s="2" t="s">
        <v>3576</v>
      </c>
      <c r="Y29" s="2" t="s">
        <v>3563</v>
      </c>
      <c r="Z29" s="3" t="s">
        <v>3577</v>
      </c>
      <c r="AA29" s="405" t="s">
        <v>2135</v>
      </c>
      <c r="AB29" s="245" t="s">
        <v>4041</v>
      </c>
      <c r="AC29" s="1" t="s">
        <v>4056</v>
      </c>
      <c r="AD29" s="1" t="s">
        <v>2136</v>
      </c>
      <c r="AE29" s="1" t="s">
        <v>808</v>
      </c>
      <c r="AF29" s="3" t="s">
        <v>4045</v>
      </c>
      <c r="AG29" s="529" t="s">
        <v>1309</v>
      </c>
      <c r="AH29" s="245" t="s">
        <v>1310</v>
      </c>
      <c r="AI29" s="7" t="s">
        <v>1311</v>
      </c>
      <c r="AJ29" s="2" t="s">
        <v>1312</v>
      </c>
      <c r="AK29" s="2" t="s">
        <v>816</v>
      </c>
      <c r="AL29" s="3" t="s">
        <v>2746</v>
      </c>
      <c r="AM29" s="197" t="s">
        <v>2137</v>
      </c>
      <c r="AN29" s="197" t="s">
        <v>579</v>
      </c>
      <c r="AO29" s="1" t="s">
        <v>2138</v>
      </c>
      <c r="AP29" s="1" t="s">
        <v>2139</v>
      </c>
      <c r="AQ29" s="1" t="s">
        <v>2140</v>
      </c>
      <c r="AR29" s="3" t="s">
        <v>2141</v>
      </c>
      <c r="AS29" s="405" t="s">
        <v>2612</v>
      </c>
      <c r="AT29" s="197" t="s">
        <v>4041</v>
      </c>
      <c r="AU29" s="7" t="s">
        <v>264</v>
      </c>
      <c r="AV29" s="2" t="s">
        <v>1408</v>
      </c>
      <c r="AW29" s="2" t="s">
        <v>1409</v>
      </c>
      <c r="AX29" s="3" t="s">
        <v>1410</v>
      </c>
      <c r="AY29" s="405" t="s">
        <v>2348</v>
      </c>
      <c r="AZ29" s="199" t="s">
        <v>148</v>
      </c>
      <c r="BA29" s="10" t="s">
        <v>2349</v>
      </c>
      <c r="BB29" s="8" t="s">
        <v>2350</v>
      </c>
      <c r="BC29" s="8" t="s">
        <v>2351</v>
      </c>
      <c r="BD29" s="6" t="s">
        <v>2536</v>
      </c>
      <c r="BE29" s="197" t="s">
        <v>3101</v>
      </c>
      <c r="BF29" s="197" t="s">
        <v>579</v>
      </c>
      <c r="BG29" s="7" t="s">
        <v>822</v>
      </c>
      <c r="BH29" s="2" t="s">
        <v>823</v>
      </c>
      <c r="BI29" s="2" t="s">
        <v>1830</v>
      </c>
      <c r="BJ29" s="3" t="s">
        <v>427</v>
      </c>
      <c r="BK29" s="405" t="s">
        <v>3589</v>
      </c>
      <c r="BL29" s="197" t="s">
        <v>2029</v>
      </c>
      <c r="BM29" s="7" t="s">
        <v>3870</v>
      </c>
      <c r="BN29" s="2" t="s">
        <v>182</v>
      </c>
      <c r="BO29" s="2" t="s">
        <v>3613</v>
      </c>
      <c r="BP29" s="3" t="s">
        <v>1411</v>
      </c>
      <c r="BQ29" s="197" t="s">
        <v>2242</v>
      </c>
      <c r="BR29" s="197" t="s">
        <v>2668</v>
      </c>
      <c r="BS29" s="7" t="s">
        <v>3346</v>
      </c>
      <c r="BT29" s="2" t="s">
        <v>184</v>
      </c>
      <c r="BU29" s="2" t="s">
        <v>3876</v>
      </c>
      <c r="BV29" s="3" t="s">
        <v>3846</v>
      </c>
      <c r="BW29" s="197" t="s">
        <v>2096</v>
      </c>
      <c r="BX29" s="197" t="s">
        <v>1879</v>
      </c>
      <c r="BY29" s="7" t="s">
        <v>1265</v>
      </c>
      <c r="BZ29" s="2" t="s">
        <v>2160</v>
      </c>
      <c r="CA29" s="2" t="s">
        <v>1463</v>
      </c>
      <c r="CB29" s="3" t="s">
        <v>690</v>
      </c>
      <c r="CC29" s="197" t="s">
        <v>2613</v>
      </c>
      <c r="CD29" s="197" t="s">
        <v>700</v>
      </c>
      <c r="CE29" s="7" t="s">
        <v>3257</v>
      </c>
      <c r="CF29" s="2" t="s">
        <v>3348</v>
      </c>
      <c r="CG29" s="2" t="s">
        <v>3881</v>
      </c>
      <c r="CH29" s="3" t="s">
        <v>3793</v>
      </c>
      <c r="CI29" s="405"/>
      <c r="CJ29" s="197"/>
      <c r="CK29" s="2"/>
      <c r="CL29" s="2"/>
      <c r="CM29" s="2"/>
      <c r="CN29" s="3"/>
      <c r="CO29" s="405"/>
      <c r="CP29" s="197"/>
      <c r="CQ29" s="7"/>
      <c r="CR29" s="2"/>
      <c r="CS29" s="2"/>
      <c r="CT29" s="3"/>
      <c r="CU29" s="280"/>
      <c r="CV29" s="280"/>
      <c r="CW29" s="2"/>
      <c r="CX29" s="2"/>
      <c r="CY29" s="2"/>
      <c r="CZ29" s="2"/>
      <c r="DA29" s="280"/>
      <c r="DB29" s="280"/>
      <c r="DC29" s="2"/>
      <c r="DD29" s="2"/>
      <c r="DE29" s="2"/>
      <c r="DF29" s="2"/>
      <c r="DG29" s="280"/>
      <c r="DH29" s="280"/>
      <c r="DI29" s="2"/>
      <c r="DJ29" s="2"/>
      <c r="DK29" s="2"/>
      <c r="DL29" s="2"/>
      <c r="DM29" s="280"/>
      <c r="DN29" s="280"/>
      <c r="DO29" s="2"/>
      <c r="DP29" s="2"/>
      <c r="DQ29" s="2"/>
      <c r="DR29" s="2"/>
      <c r="DS29" s="280"/>
      <c r="DT29" s="280"/>
      <c r="DU29" s="2"/>
      <c r="DV29" s="2"/>
      <c r="DW29" s="2"/>
      <c r="DX29" s="2"/>
      <c r="DY29" s="280"/>
      <c r="DZ29" s="280"/>
      <c r="EA29" s="2"/>
      <c r="EB29" s="2"/>
      <c r="EC29" s="2"/>
      <c r="ED29" s="2"/>
      <c r="EE29" s="280"/>
      <c r="EF29" s="280"/>
      <c r="EG29" s="2"/>
      <c r="EH29" s="2"/>
      <c r="EI29" s="2"/>
      <c r="EJ29" s="2"/>
      <c r="EK29" s="280"/>
      <c r="EL29" s="280"/>
      <c r="EM29" s="2"/>
      <c r="EN29" s="2"/>
      <c r="EO29" s="2"/>
      <c r="EP29" s="2"/>
      <c r="EQ29" s="280"/>
      <c r="ER29" s="280"/>
      <c r="ES29" s="2"/>
      <c r="ET29" s="2"/>
      <c r="EU29" s="2"/>
      <c r="EV29" s="2"/>
      <c r="EW29" s="280"/>
      <c r="EX29" s="280"/>
      <c r="EY29" s="2"/>
      <c r="EZ29" s="2"/>
      <c r="FA29" s="2"/>
      <c r="FB29" s="2"/>
      <c r="FC29" s="280"/>
      <c r="FD29" s="280"/>
      <c r="FE29" s="2"/>
      <c r="FF29" s="2"/>
      <c r="FG29" s="2"/>
      <c r="FH29" s="2"/>
      <c r="FI29" s="280"/>
      <c r="FJ29" s="280"/>
      <c r="FK29" s="2"/>
      <c r="FL29" s="2"/>
      <c r="FM29" s="2"/>
      <c r="FN29" s="2"/>
      <c r="FO29" s="280"/>
      <c r="FP29" s="280"/>
      <c r="FQ29" s="2"/>
      <c r="FR29" s="2"/>
      <c r="FS29" s="2"/>
      <c r="FT29" s="2"/>
      <c r="FU29" s="280"/>
      <c r="FV29" s="280"/>
      <c r="FW29" s="2"/>
      <c r="FX29" s="2"/>
      <c r="FY29" s="2"/>
      <c r="FZ29" s="2"/>
      <c r="GA29" s="280"/>
      <c r="GB29" s="280"/>
      <c r="GC29" s="2"/>
      <c r="GD29" s="2"/>
      <c r="GE29" s="2"/>
      <c r="GF29" s="2"/>
      <c r="GG29" s="280"/>
      <c r="GH29" s="280"/>
      <c r="GI29" s="2"/>
      <c r="GJ29" s="2"/>
      <c r="GK29" s="2"/>
      <c r="GL29" s="2"/>
      <c r="GM29" s="280"/>
      <c r="GN29" s="280"/>
      <c r="GO29" s="2"/>
      <c r="GP29" s="2"/>
      <c r="GQ29" s="2"/>
      <c r="GR29" s="2"/>
      <c r="GS29" s="280"/>
      <c r="GT29" s="280"/>
      <c r="GU29" s="2"/>
      <c r="GV29" s="2"/>
      <c r="GW29" s="2"/>
      <c r="GX29" s="2"/>
      <c r="GY29" s="280"/>
      <c r="GZ29" s="280"/>
      <c r="HA29" s="2"/>
      <c r="HB29" s="2"/>
      <c r="HC29" s="2"/>
      <c r="HD29" s="2"/>
      <c r="HE29" s="280"/>
      <c r="HF29" s="280"/>
      <c r="HG29" s="2"/>
      <c r="HH29" s="2"/>
      <c r="HI29" s="2"/>
      <c r="HJ29" s="2"/>
    </row>
    <row r="30" spans="1:218" ht="12.9" customHeight="1" x14ac:dyDescent="0.2">
      <c r="A30" s="10" t="str">
        <f>+'Past Quartets 1st - 3rd Place'!A30</f>
        <v>2000</v>
      </c>
      <c r="B30" s="503">
        <f>+'Past Quartets 1st - 3rd Place'!B30</f>
        <v>28</v>
      </c>
      <c r="C30" s="528" t="s">
        <v>3579</v>
      </c>
      <c r="D30" s="245" t="s">
        <v>1403</v>
      </c>
      <c r="E30" s="7" t="s">
        <v>2735</v>
      </c>
      <c r="F30" s="2" t="s">
        <v>2139</v>
      </c>
      <c r="G30" s="2" t="s">
        <v>2140</v>
      </c>
      <c r="H30" s="3" t="s">
        <v>1404</v>
      </c>
      <c r="I30" s="405" t="s">
        <v>2145</v>
      </c>
      <c r="J30" s="197" t="s">
        <v>1405</v>
      </c>
      <c r="K30" s="7" t="s">
        <v>3081</v>
      </c>
      <c r="L30" s="2" t="s">
        <v>813</v>
      </c>
      <c r="M30" s="2" t="s">
        <v>2674</v>
      </c>
      <c r="N30" s="3" t="s">
        <v>3534</v>
      </c>
      <c r="O30" s="405" t="s">
        <v>48</v>
      </c>
      <c r="P30" s="197" t="s">
        <v>49</v>
      </c>
      <c r="Q30" s="2" t="s">
        <v>458</v>
      </c>
      <c r="R30" s="2" t="s">
        <v>2705</v>
      </c>
      <c r="S30" s="2" t="s">
        <v>2706</v>
      </c>
      <c r="T30" s="3" t="s">
        <v>4068</v>
      </c>
      <c r="U30" s="197" t="s">
        <v>3582</v>
      </c>
      <c r="V30" s="197" t="s">
        <v>3357</v>
      </c>
      <c r="W30" s="7" t="s">
        <v>735</v>
      </c>
      <c r="X30" s="2" t="s">
        <v>3553</v>
      </c>
      <c r="Y30" s="2" t="s">
        <v>2308</v>
      </c>
      <c r="Z30" s="3" t="s">
        <v>3555</v>
      </c>
      <c r="AA30" s="405" t="s">
        <v>2135</v>
      </c>
      <c r="AB30" s="197" t="s">
        <v>4041</v>
      </c>
      <c r="AC30" s="1" t="s">
        <v>4056</v>
      </c>
      <c r="AD30" s="1" t="s">
        <v>2136</v>
      </c>
      <c r="AE30" s="1" t="s">
        <v>808</v>
      </c>
      <c r="AF30" s="3" t="s">
        <v>4045</v>
      </c>
      <c r="AG30" s="405" t="s">
        <v>2622</v>
      </c>
      <c r="AH30" s="197" t="s">
        <v>1406</v>
      </c>
      <c r="AI30" s="2" t="s">
        <v>1407</v>
      </c>
      <c r="AJ30" s="2" t="s">
        <v>2331</v>
      </c>
      <c r="AK30" s="2" t="s">
        <v>1615</v>
      </c>
      <c r="AL30" s="3" t="s">
        <v>2950</v>
      </c>
      <c r="AM30" s="197" t="s">
        <v>2612</v>
      </c>
      <c r="AN30" s="197" t="s">
        <v>4041</v>
      </c>
      <c r="AO30" s="7" t="s">
        <v>264</v>
      </c>
      <c r="AP30" s="2" t="s">
        <v>1408</v>
      </c>
      <c r="AQ30" s="2" t="s">
        <v>1409</v>
      </c>
      <c r="AR30" s="3" t="s">
        <v>1410</v>
      </c>
      <c r="AS30" s="405" t="s">
        <v>3589</v>
      </c>
      <c r="AT30" s="197" t="s">
        <v>2029</v>
      </c>
      <c r="AU30" s="7" t="s">
        <v>3870</v>
      </c>
      <c r="AV30" s="2" t="s">
        <v>182</v>
      </c>
      <c r="AW30" s="2" t="s">
        <v>3613</v>
      </c>
      <c r="AX30" s="3" t="s">
        <v>1411</v>
      </c>
      <c r="AY30" s="405" t="s">
        <v>3573</v>
      </c>
      <c r="AZ30" s="197" t="s">
        <v>1402</v>
      </c>
      <c r="BA30" s="2" t="s">
        <v>3575</v>
      </c>
      <c r="BB30" s="2" t="s">
        <v>3576</v>
      </c>
      <c r="BC30" s="2" t="s">
        <v>3563</v>
      </c>
      <c r="BD30" s="3" t="s">
        <v>3577</v>
      </c>
      <c r="BE30" s="197"/>
      <c r="BF30" s="197"/>
      <c r="BG30" s="7"/>
      <c r="BH30" s="2"/>
      <c r="BI30" s="2"/>
      <c r="BJ30" s="3"/>
      <c r="BK30" s="405"/>
      <c r="BL30" s="197"/>
      <c r="BM30" s="7"/>
      <c r="BN30" s="2"/>
      <c r="BO30" s="2"/>
      <c r="BP30" s="3"/>
      <c r="BQ30" s="405"/>
      <c r="BR30" s="197"/>
      <c r="BS30" s="2"/>
      <c r="BT30" s="2"/>
      <c r="BU30" s="2"/>
      <c r="BV30" s="3"/>
      <c r="BW30" s="197"/>
      <c r="BX30" s="197"/>
      <c r="BY30" s="2"/>
      <c r="BZ30" s="2"/>
      <c r="CA30" s="2"/>
      <c r="CB30" s="3"/>
      <c r="CC30" s="197"/>
      <c r="CD30" s="197"/>
      <c r="CE30" s="7"/>
      <c r="CF30" s="2"/>
      <c r="CG30" s="2"/>
      <c r="CH30" s="3"/>
      <c r="CI30" s="405"/>
      <c r="CJ30" s="197"/>
      <c r="CK30" s="7"/>
      <c r="CL30" s="2"/>
      <c r="CM30" s="2"/>
      <c r="CN30" s="3"/>
      <c r="CO30" s="405"/>
      <c r="CP30" s="197"/>
      <c r="CQ30" s="2"/>
      <c r="CR30" s="2"/>
      <c r="CS30" s="2"/>
      <c r="CT30" s="3"/>
      <c r="CU30" s="280"/>
      <c r="CV30" s="280"/>
      <c r="CW30" s="2"/>
      <c r="CX30" s="2"/>
      <c r="CY30" s="2"/>
      <c r="CZ30" s="2"/>
      <c r="DA30" s="280"/>
      <c r="DB30" s="280"/>
      <c r="DC30" s="2"/>
      <c r="DD30" s="2"/>
      <c r="DE30" s="2"/>
      <c r="DF30" s="2"/>
      <c r="DG30" s="280"/>
      <c r="DH30" s="280"/>
      <c r="DI30" s="2"/>
      <c r="DJ30" s="2"/>
      <c r="DK30" s="2"/>
      <c r="DL30" s="2"/>
      <c r="DM30" s="280"/>
      <c r="DN30" s="280"/>
      <c r="DO30" s="2"/>
      <c r="DP30" s="2"/>
      <c r="DQ30" s="2"/>
      <c r="DR30" s="2"/>
      <c r="DS30" s="280"/>
      <c r="DT30" s="280"/>
      <c r="DU30" s="2"/>
      <c r="DV30" s="2"/>
      <c r="DW30" s="2"/>
      <c r="DX30" s="2"/>
      <c r="DY30" s="280"/>
      <c r="DZ30" s="280"/>
      <c r="EA30" s="2"/>
      <c r="EB30" s="2"/>
      <c r="EC30" s="2"/>
      <c r="ED30" s="2"/>
      <c r="EE30" s="280"/>
      <c r="EF30" s="280"/>
      <c r="EG30" s="2"/>
      <c r="EH30" s="2"/>
      <c r="EI30" s="2"/>
      <c r="EJ30" s="2"/>
      <c r="EK30" s="280"/>
      <c r="EL30" s="280"/>
      <c r="EM30" s="2"/>
      <c r="EN30" s="2"/>
      <c r="EO30" s="2"/>
      <c r="EP30" s="2"/>
      <c r="EQ30" s="280"/>
      <c r="ER30" s="280"/>
      <c r="ES30" s="2"/>
      <c r="ET30" s="2"/>
      <c r="EU30" s="2"/>
      <c r="EV30" s="2"/>
      <c r="EW30" s="280"/>
      <c r="EX30" s="280"/>
      <c r="EY30" s="2"/>
      <c r="EZ30" s="2"/>
      <c r="FA30" s="2"/>
      <c r="FB30" s="2"/>
      <c r="FC30" s="280"/>
      <c r="FD30" s="280"/>
      <c r="FE30" s="2"/>
      <c r="FF30" s="2"/>
      <c r="FG30" s="2"/>
      <c r="FH30" s="2"/>
      <c r="FI30" s="280"/>
      <c r="FJ30" s="280"/>
      <c r="FK30" s="2"/>
      <c r="FL30" s="2"/>
      <c r="FM30" s="2"/>
      <c r="FN30" s="2"/>
      <c r="FO30" s="280"/>
      <c r="FP30" s="280"/>
      <c r="FQ30" s="2"/>
      <c r="FR30" s="2"/>
      <c r="FS30" s="2"/>
      <c r="FT30" s="2"/>
      <c r="FU30" s="280"/>
      <c r="FV30" s="280"/>
      <c r="FW30" s="2"/>
      <c r="FX30" s="2"/>
      <c r="FY30" s="2"/>
      <c r="FZ30" s="2"/>
      <c r="GA30" s="280"/>
      <c r="GB30" s="280"/>
      <c r="GC30" s="2"/>
      <c r="GD30" s="2"/>
      <c r="GE30" s="2"/>
      <c r="GF30" s="2"/>
      <c r="GG30" s="280"/>
      <c r="GH30" s="280"/>
      <c r="GI30" s="2"/>
      <c r="GJ30" s="2"/>
      <c r="GK30" s="2"/>
      <c r="GL30" s="2"/>
      <c r="GM30" s="280"/>
      <c r="GN30" s="280"/>
      <c r="GO30" s="2"/>
      <c r="GP30" s="2"/>
      <c r="GQ30" s="2"/>
      <c r="GR30" s="2"/>
      <c r="GS30" s="280"/>
      <c r="GT30" s="280"/>
      <c r="GU30" s="2"/>
      <c r="GV30" s="2"/>
      <c r="GW30" s="2"/>
      <c r="GX30" s="2"/>
      <c r="GY30" s="280"/>
      <c r="GZ30" s="280"/>
      <c r="HA30" s="2"/>
      <c r="HB30" s="2"/>
      <c r="HC30" s="2"/>
      <c r="HD30" s="2"/>
      <c r="HE30" s="280"/>
      <c r="HF30" s="280"/>
      <c r="HG30" s="2"/>
      <c r="HH30" s="2"/>
      <c r="HI30" s="2"/>
      <c r="HJ30" s="2"/>
    </row>
    <row r="31" spans="1:218" ht="12.9" customHeight="1" x14ac:dyDescent="0.2">
      <c r="A31" s="10" t="str">
        <f>+'Past Quartets 1st - 3rd Place'!A31</f>
        <v>2001</v>
      </c>
      <c r="B31" s="503">
        <f>+'Past Quartets 1st - 3rd Place'!B31</f>
        <v>30</v>
      </c>
      <c r="C31" s="528" t="s">
        <v>2145</v>
      </c>
      <c r="D31" s="245" t="s">
        <v>2718</v>
      </c>
      <c r="E31" s="7" t="s">
        <v>812</v>
      </c>
      <c r="F31" s="2" t="s">
        <v>813</v>
      </c>
      <c r="G31" s="2" t="s">
        <v>2674</v>
      </c>
      <c r="H31" s="3" t="s">
        <v>2723</v>
      </c>
      <c r="I31" s="529" t="s">
        <v>3579</v>
      </c>
      <c r="J31" s="245" t="s">
        <v>1412</v>
      </c>
      <c r="K31" s="7" t="s">
        <v>3671</v>
      </c>
      <c r="L31" s="2" t="s">
        <v>2139</v>
      </c>
      <c r="M31" s="2" t="s">
        <v>2140</v>
      </c>
      <c r="N31" s="3" t="s">
        <v>3690</v>
      </c>
      <c r="O31" s="405" t="s">
        <v>3298</v>
      </c>
      <c r="P31" s="245" t="s">
        <v>4079</v>
      </c>
      <c r="Q31" s="2" t="s">
        <v>3575</v>
      </c>
      <c r="R31" s="2" t="s">
        <v>3576</v>
      </c>
      <c r="S31" s="2" t="s">
        <v>3511</v>
      </c>
      <c r="T31" s="3" t="s">
        <v>3543</v>
      </c>
      <c r="U31" s="197" t="s">
        <v>3582</v>
      </c>
      <c r="V31" s="197" t="s">
        <v>3357</v>
      </c>
      <c r="W31" s="7" t="s">
        <v>735</v>
      </c>
      <c r="X31" s="2" t="s">
        <v>3553</v>
      </c>
      <c r="Y31" s="2" t="s">
        <v>2308</v>
      </c>
      <c r="Z31" s="3" t="s">
        <v>3555</v>
      </c>
      <c r="AA31" s="405" t="s">
        <v>818</v>
      </c>
      <c r="AB31" s="197" t="s">
        <v>517</v>
      </c>
      <c r="AC31" s="2" t="s">
        <v>819</v>
      </c>
      <c r="AD31" s="2" t="s">
        <v>662</v>
      </c>
      <c r="AE31" s="2" t="s">
        <v>820</v>
      </c>
      <c r="AF31" s="3" t="s">
        <v>3519</v>
      </c>
      <c r="AG31" s="405" t="s">
        <v>2135</v>
      </c>
      <c r="AH31" s="197" t="s">
        <v>4041</v>
      </c>
      <c r="AI31" s="1" t="s">
        <v>4056</v>
      </c>
      <c r="AJ31" s="1" t="s">
        <v>2136</v>
      </c>
      <c r="AK31" s="1" t="s">
        <v>808</v>
      </c>
      <c r="AL31" s="3" t="s">
        <v>4045</v>
      </c>
      <c r="AM31" s="197" t="s">
        <v>3300</v>
      </c>
      <c r="AN31" s="197" t="s">
        <v>3031</v>
      </c>
      <c r="AO31" s="7" t="s">
        <v>458</v>
      </c>
      <c r="AP31" s="2" t="s">
        <v>2949</v>
      </c>
      <c r="AQ31" s="2" t="s">
        <v>816</v>
      </c>
      <c r="AR31" s="3" t="s">
        <v>2950</v>
      </c>
      <c r="AS31" s="405" t="s">
        <v>3301</v>
      </c>
      <c r="AT31" s="197" t="s">
        <v>1413</v>
      </c>
      <c r="AU31" s="2" t="s">
        <v>3846</v>
      </c>
      <c r="AV31" s="2" t="s">
        <v>184</v>
      </c>
      <c r="AW31" s="2" t="s">
        <v>3368</v>
      </c>
      <c r="AX31" s="2" t="s">
        <v>1517</v>
      </c>
      <c r="AY31" s="405" t="s">
        <v>3101</v>
      </c>
      <c r="AZ31" s="197" t="s">
        <v>579</v>
      </c>
      <c r="BA31" s="2" t="s">
        <v>822</v>
      </c>
      <c r="BB31" s="2" t="s">
        <v>823</v>
      </c>
      <c r="BC31" s="2" t="s">
        <v>1830</v>
      </c>
      <c r="BD31" s="3" t="s">
        <v>427</v>
      </c>
      <c r="BE31" s="197" t="s">
        <v>3299</v>
      </c>
      <c r="BF31" s="197" t="s">
        <v>4177</v>
      </c>
      <c r="BG31" s="2" t="s">
        <v>2793</v>
      </c>
      <c r="BH31" s="2" t="s">
        <v>2729</v>
      </c>
      <c r="BI31" s="2" t="s">
        <v>747</v>
      </c>
      <c r="BJ31" s="2" t="s">
        <v>4033</v>
      </c>
      <c r="BK31" s="405"/>
      <c r="BL31" s="197"/>
      <c r="BM31" s="2"/>
      <c r="BN31" s="2"/>
      <c r="BP31" s="2"/>
      <c r="BQ31" s="405"/>
      <c r="BR31" s="197"/>
      <c r="BS31" s="2"/>
      <c r="BT31" s="2"/>
      <c r="BU31" s="2"/>
      <c r="BV31" s="3"/>
      <c r="BW31" s="197"/>
      <c r="BX31" s="197"/>
      <c r="BY31" s="2"/>
      <c r="BZ31" s="2"/>
      <c r="CA31" s="2"/>
      <c r="CB31" s="3"/>
      <c r="CC31" s="197"/>
      <c r="CD31" s="197"/>
      <c r="CE31" s="7"/>
      <c r="CF31" s="2"/>
      <c r="CG31" s="2"/>
      <c r="CH31" s="3"/>
      <c r="CI31" s="405"/>
      <c r="CJ31" s="197"/>
      <c r="CK31" s="2"/>
      <c r="CL31" s="2"/>
      <c r="CN31" s="3"/>
      <c r="CO31" s="405"/>
      <c r="CP31" s="197"/>
      <c r="CQ31" s="2"/>
      <c r="CR31" s="2"/>
      <c r="CS31" s="2"/>
      <c r="CT31" s="3"/>
      <c r="CU31" s="280"/>
      <c r="CV31" s="280"/>
      <c r="CW31" s="2"/>
      <c r="CX31" s="2"/>
      <c r="CY31" s="2"/>
      <c r="CZ31" s="2"/>
      <c r="DA31" s="280"/>
      <c r="DB31" s="280"/>
      <c r="DC31" s="2"/>
      <c r="DD31" s="2"/>
      <c r="DE31" s="2"/>
      <c r="DF31" s="2"/>
      <c r="DG31" s="280"/>
      <c r="DH31" s="280"/>
      <c r="DI31" s="2"/>
      <c r="DJ31" s="2"/>
      <c r="DK31" s="2"/>
      <c r="DL31" s="2"/>
      <c r="DM31" s="280"/>
      <c r="DN31" s="280"/>
      <c r="DO31" s="2"/>
      <c r="DP31" s="2"/>
      <c r="DQ31" s="2"/>
      <c r="DR31" s="2"/>
      <c r="DS31" s="280"/>
      <c r="DT31" s="280"/>
      <c r="DU31" s="2"/>
      <c r="DV31" s="2"/>
      <c r="DW31" s="2"/>
      <c r="DX31" s="2"/>
      <c r="DY31" s="280"/>
      <c r="DZ31" s="280"/>
      <c r="EA31" s="2"/>
      <c r="EB31" s="2"/>
      <c r="EC31" s="2"/>
      <c r="ED31" s="2"/>
      <c r="EE31" s="280"/>
      <c r="EF31" s="280"/>
      <c r="EG31" s="2"/>
      <c r="EH31" s="2"/>
      <c r="EI31" s="2"/>
      <c r="EJ31" s="2"/>
      <c r="EK31" s="280"/>
      <c r="EL31" s="280"/>
      <c r="EM31" s="2"/>
      <c r="EN31" s="2"/>
      <c r="EO31" s="2"/>
      <c r="EP31" s="2"/>
      <c r="EQ31" s="280"/>
      <c r="ER31" s="280"/>
      <c r="ES31" s="2"/>
      <c r="ET31" s="2"/>
      <c r="EU31" s="2"/>
      <c r="EV31" s="2"/>
      <c r="EW31" s="280"/>
      <c r="EX31" s="280"/>
      <c r="EY31" s="2"/>
      <c r="EZ31" s="2"/>
      <c r="FA31" s="2"/>
      <c r="FB31" s="2"/>
      <c r="FC31" s="280"/>
      <c r="FD31" s="280"/>
      <c r="FE31" s="2"/>
      <c r="FF31" s="2"/>
      <c r="FG31" s="2"/>
      <c r="FH31" s="2"/>
      <c r="FI31" s="280"/>
      <c r="FJ31" s="280"/>
      <c r="FK31" s="2"/>
      <c r="FL31" s="2"/>
      <c r="FM31" s="2"/>
      <c r="FN31" s="2"/>
      <c r="FO31" s="280"/>
      <c r="FP31" s="280"/>
      <c r="FQ31" s="2"/>
      <c r="FR31" s="2"/>
      <c r="FS31" s="2"/>
      <c r="FT31" s="2"/>
      <c r="FU31" s="280"/>
      <c r="FV31" s="280"/>
      <c r="FW31" s="2"/>
      <c r="FX31" s="2"/>
      <c r="FY31" s="2"/>
      <c r="FZ31" s="2"/>
      <c r="GA31" s="280"/>
      <c r="GB31" s="280"/>
      <c r="GC31" s="2"/>
      <c r="GD31" s="2"/>
      <c r="GE31" s="2"/>
      <c r="GF31" s="2"/>
      <c r="GG31" s="280"/>
      <c r="GH31" s="280"/>
      <c r="GI31" s="2"/>
      <c r="GJ31" s="2"/>
      <c r="GK31" s="2"/>
      <c r="GL31" s="2"/>
      <c r="GM31" s="280"/>
      <c r="GN31" s="280"/>
      <c r="GO31" s="2"/>
      <c r="GP31" s="2"/>
      <c r="GQ31" s="2"/>
      <c r="GR31" s="2"/>
      <c r="GS31" s="280"/>
      <c r="GT31" s="280"/>
      <c r="GU31" s="2"/>
      <c r="GV31" s="2"/>
      <c r="GW31" s="2"/>
      <c r="GX31" s="2"/>
      <c r="GY31" s="280"/>
      <c r="GZ31" s="280"/>
      <c r="HA31" s="2"/>
      <c r="HB31" s="2"/>
      <c r="HC31" s="2"/>
      <c r="HD31" s="2"/>
      <c r="HE31" s="280"/>
      <c r="HF31" s="280"/>
      <c r="HG31" s="2"/>
      <c r="HH31" s="2"/>
      <c r="HI31" s="2"/>
      <c r="HJ31" s="2"/>
    </row>
    <row r="32" spans="1:218" ht="12.9" customHeight="1" x14ac:dyDescent="0.2">
      <c r="A32" s="10" t="str">
        <f>+'Past Quartets 1st - 3rd Place'!A32</f>
        <v>2002</v>
      </c>
      <c r="B32" s="503">
        <f>+'Past Quartets 1st - 3rd Place'!B32</f>
        <v>24</v>
      </c>
      <c r="C32" s="528" t="s">
        <v>2145</v>
      </c>
      <c r="D32" s="245" t="s">
        <v>2718</v>
      </c>
      <c r="E32" s="7" t="s">
        <v>812</v>
      </c>
      <c r="F32" s="2" t="s">
        <v>813</v>
      </c>
      <c r="G32" s="2" t="s">
        <v>2674</v>
      </c>
      <c r="H32" s="3" t="s">
        <v>2723</v>
      </c>
      <c r="I32" s="529" t="s">
        <v>3579</v>
      </c>
      <c r="J32" s="245" t="s">
        <v>3580</v>
      </c>
      <c r="K32" s="7" t="s">
        <v>3671</v>
      </c>
      <c r="L32" s="2" t="s">
        <v>2139</v>
      </c>
      <c r="M32" s="2" t="s">
        <v>2140</v>
      </c>
      <c r="N32" s="3" t="s">
        <v>3690</v>
      </c>
      <c r="O32" s="405" t="s">
        <v>3582</v>
      </c>
      <c r="P32" s="197" t="s">
        <v>3357</v>
      </c>
      <c r="Q32" s="7" t="s">
        <v>735</v>
      </c>
      <c r="R32" s="2" t="s">
        <v>3552</v>
      </c>
      <c r="S32" s="2" t="s">
        <v>2308</v>
      </c>
      <c r="T32" s="3" t="s">
        <v>3555</v>
      </c>
      <c r="U32" s="197" t="s">
        <v>3309</v>
      </c>
      <c r="V32" s="197" t="s">
        <v>4079</v>
      </c>
      <c r="W32" s="7" t="s">
        <v>259</v>
      </c>
      <c r="X32" s="2" t="s">
        <v>1414</v>
      </c>
      <c r="Y32" s="2" t="s">
        <v>3272</v>
      </c>
      <c r="Z32" s="3" t="s">
        <v>3088</v>
      </c>
      <c r="AA32" s="405" t="s">
        <v>3308</v>
      </c>
      <c r="AB32" s="197" t="s">
        <v>3826</v>
      </c>
      <c r="AC32" s="2" t="s">
        <v>428</v>
      </c>
      <c r="AD32" s="2" t="s">
        <v>179</v>
      </c>
      <c r="AE32" s="1" t="s">
        <v>1415</v>
      </c>
      <c r="AF32" s="2" t="s">
        <v>1416</v>
      </c>
      <c r="AG32" s="405" t="s">
        <v>3589</v>
      </c>
      <c r="AH32" s="197" t="s">
        <v>1417</v>
      </c>
      <c r="AI32" s="7" t="s">
        <v>3870</v>
      </c>
      <c r="AJ32" s="2" t="s">
        <v>182</v>
      </c>
      <c r="AK32" s="2" t="s">
        <v>3881</v>
      </c>
      <c r="AL32" s="3" t="s">
        <v>3818</v>
      </c>
      <c r="AM32" s="197" t="s">
        <v>2619</v>
      </c>
      <c r="AN32" s="197" t="s">
        <v>1418</v>
      </c>
      <c r="AO32" s="7" t="s">
        <v>2265</v>
      </c>
      <c r="AP32" s="2" t="s">
        <v>1419</v>
      </c>
      <c r="AQ32" s="2" t="s">
        <v>2940</v>
      </c>
      <c r="AR32" s="3" t="s">
        <v>3882</v>
      </c>
      <c r="AS32" s="405" t="s">
        <v>2356</v>
      </c>
      <c r="AT32" s="197" t="s">
        <v>2668</v>
      </c>
      <c r="AU32" s="2" t="s">
        <v>3874</v>
      </c>
      <c r="AV32" s="2" t="s">
        <v>1420</v>
      </c>
      <c r="AW32" s="1" t="s">
        <v>1421</v>
      </c>
      <c r="AX32" s="2" t="s">
        <v>2675</v>
      </c>
      <c r="AY32" s="405" t="s">
        <v>2244</v>
      </c>
      <c r="AZ32" s="197" t="s">
        <v>2662</v>
      </c>
      <c r="BA32" s="7" t="s">
        <v>2941</v>
      </c>
      <c r="BB32" s="2" t="s">
        <v>2944</v>
      </c>
      <c r="BC32" s="2" t="s">
        <v>3988</v>
      </c>
      <c r="BD32" s="3" t="s">
        <v>2942</v>
      </c>
      <c r="BE32" s="197" t="s">
        <v>3310</v>
      </c>
      <c r="BF32" s="197" t="s">
        <v>1310</v>
      </c>
      <c r="BG32" s="7" t="s">
        <v>1422</v>
      </c>
      <c r="BH32" s="2" t="s">
        <v>1423</v>
      </c>
      <c r="BI32" s="2" t="s">
        <v>1424</v>
      </c>
      <c r="BJ32" s="3" t="s">
        <v>1425</v>
      </c>
      <c r="BK32" s="405"/>
      <c r="BL32" s="197"/>
      <c r="BM32" s="2"/>
      <c r="BN32" s="2"/>
      <c r="BP32" s="2"/>
      <c r="BQ32" s="405"/>
      <c r="BR32" s="197"/>
      <c r="BS32" s="7"/>
      <c r="BT32" s="2"/>
      <c r="BU32" s="2"/>
      <c r="BV32" s="3"/>
      <c r="BW32" s="197"/>
      <c r="BX32" s="197"/>
      <c r="BY32" s="7"/>
      <c r="BZ32" s="2"/>
      <c r="CA32" s="2"/>
      <c r="CB32" s="3"/>
      <c r="CC32" s="197"/>
      <c r="CD32" s="197"/>
      <c r="CE32" s="7"/>
      <c r="CF32" s="2"/>
      <c r="CG32" s="2"/>
      <c r="CH32" s="3"/>
      <c r="CI32" s="405"/>
      <c r="CJ32" s="197"/>
      <c r="CK32" s="2"/>
      <c r="CL32" s="2"/>
      <c r="CN32" s="3"/>
      <c r="CO32" s="405"/>
      <c r="CP32" s="197"/>
      <c r="CQ32" s="7"/>
      <c r="CR32" s="2"/>
      <c r="CS32" s="2"/>
      <c r="CT32" s="3"/>
      <c r="CU32" s="280"/>
      <c r="CV32" s="280"/>
      <c r="CW32" s="2"/>
      <c r="CX32" s="2"/>
      <c r="CY32" s="2"/>
      <c r="CZ32" s="2"/>
      <c r="DA32" s="280"/>
      <c r="DB32" s="280"/>
      <c r="DC32" s="2"/>
      <c r="DD32" s="2"/>
      <c r="DE32" s="2"/>
      <c r="DF32" s="2"/>
      <c r="DG32" s="280"/>
      <c r="DH32" s="280"/>
      <c r="DI32" s="2"/>
      <c r="DJ32" s="2"/>
      <c r="DK32" s="2"/>
      <c r="DL32" s="2"/>
      <c r="DM32" s="280"/>
      <c r="DN32" s="280"/>
      <c r="DO32" s="2"/>
      <c r="DP32" s="2"/>
      <c r="DQ32" s="2"/>
      <c r="DR32" s="2"/>
      <c r="DS32" s="280"/>
      <c r="DT32" s="280"/>
      <c r="DU32" s="2"/>
      <c r="DV32" s="2"/>
      <c r="DW32" s="2"/>
      <c r="DX32" s="2"/>
      <c r="DY32" s="280"/>
      <c r="DZ32" s="280"/>
      <c r="EA32" s="2"/>
      <c r="EB32" s="2"/>
      <c r="EC32" s="2"/>
      <c r="ED32" s="2"/>
      <c r="EE32" s="280"/>
      <c r="EF32" s="280"/>
      <c r="EG32" s="2"/>
      <c r="EH32" s="2"/>
      <c r="EI32" s="2"/>
      <c r="EJ32" s="2"/>
      <c r="EK32" s="280"/>
      <c r="EL32" s="280"/>
      <c r="EM32" s="2"/>
      <c r="EN32" s="2"/>
      <c r="EO32" s="2"/>
      <c r="EP32" s="2"/>
      <c r="EQ32" s="280"/>
      <c r="ER32" s="280"/>
      <c r="ES32" s="2"/>
      <c r="ET32" s="2"/>
      <c r="EU32" s="2"/>
      <c r="EV32" s="2"/>
      <c r="EW32" s="280"/>
      <c r="EX32" s="280"/>
      <c r="EY32" s="2"/>
      <c r="EZ32" s="2"/>
      <c r="FA32" s="2"/>
      <c r="FB32" s="2"/>
      <c r="FC32" s="280"/>
      <c r="FD32" s="280"/>
      <c r="FE32" s="2"/>
      <c r="FF32" s="2"/>
      <c r="FG32" s="2"/>
      <c r="FH32" s="2"/>
      <c r="FI32" s="280"/>
      <c r="FJ32" s="280"/>
      <c r="FK32" s="2"/>
      <c r="FL32" s="2"/>
      <c r="FM32" s="2"/>
      <c r="FN32" s="2"/>
      <c r="FO32" s="280"/>
      <c r="FP32" s="280"/>
      <c r="FQ32" s="2"/>
      <c r="FR32" s="2"/>
      <c r="FS32" s="2"/>
      <c r="FT32" s="2"/>
      <c r="FU32" s="280"/>
      <c r="FV32" s="280"/>
      <c r="FW32" s="2"/>
      <c r="FX32" s="2"/>
      <c r="FY32" s="2"/>
      <c r="FZ32" s="2"/>
      <c r="GA32" s="280"/>
      <c r="GB32" s="280"/>
      <c r="GC32" s="2"/>
      <c r="GD32" s="2"/>
      <c r="GE32" s="2"/>
      <c r="GF32" s="2"/>
      <c r="GG32" s="280"/>
      <c r="GH32" s="280"/>
      <c r="GI32" s="2"/>
      <c r="GJ32" s="2"/>
      <c r="GK32" s="2"/>
      <c r="GL32" s="2"/>
      <c r="GM32" s="280"/>
      <c r="GN32" s="280"/>
      <c r="GO32" s="2"/>
      <c r="GP32" s="2"/>
      <c r="GQ32" s="2"/>
      <c r="GR32" s="2"/>
      <c r="GS32" s="280"/>
      <c r="GT32" s="280"/>
      <c r="GU32" s="2"/>
      <c r="GV32" s="2"/>
      <c r="GW32" s="2"/>
      <c r="GX32" s="2"/>
      <c r="GY32" s="280"/>
      <c r="GZ32" s="280"/>
      <c r="HA32" s="2"/>
      <c r="HB32" s="2"/>
      <c r="HC32" s="2"/>
      <c r="HD32" s="2"/>
      <c r="HE32" s="280"/>
      <c r="HF32" s="280"/>
      <c r="HG32" s="2"/>
      <c r="HH32" s="2"/>
      <c r="HI32" s="2"/>
      <c r="HJ32" s="2"/>
    </row>
    <row r="33" spans="1:218" ht="12.9" customHeight="1" x14ac:dyDescent="0.2">
      <c r="A33" s="10" t="str">
        <f>+'Past Quartets 1st - 3rd Place'!A33</f>
        <v>2003</v>
      </c>
      <c r="B33" s="503">
        <f>+'Past Quartets 1st - 3rd Place'!B33</f>
        <v>23</v>
      </c>
      <c r="C33" s="528" t="s">
        <v>3582</v>
      </c>
      <c r="D33" s="245" t="s">
        <v>3357</v>
      </c>
      <c r="E33" s="7" t="s">
        <v>735</v>
      </c>
      <c r="F33" s="2" t="s">
        <v>3552</v>
      </c>
      <c r="G33" s="2" t="s">
        <v>736</v>
      </c>
      <c r="H33" s="3" t="s">
        <v>3555</v>
      </c>
      <c r="I33" s="529" t="s">
        <v>2614</v>
      </c>
      <c r="J33" s="245" t="s">
        <v>3908</v>
      </c>
      <c r="K33" s="7" t="s">
        <v>2419</v>
      </c>
      <c r="L33" s="2" t="s">
        <v>430</v>
      </c>
      <c r="M33" s="2" t="s">
        <v>431</v>
      </c>
      <c r="N33" s="3" t="s">
        <v>432</v>
      </c>
      <c r="O33" s="405" t="s">
        <v>613</v>
      </c>
      <c r="P33" s="197" t="s">
        <v>1426</v>
      </c>
      <c r="Q33" s="7" t="s">
        <v>1427</v>
      </c>
      <c r="R33" s="2" t="s">
        <v>3087</v>
      </c>
      <c r="S33" s="2" t="s">
        <v>1428</v>
      </c>
      <c r="T33" s="3" t="s">
        <v>3514</v>
      </c>
      <c r="U33" s="197" t="s">
        <v>616</v>
      </c>
      <c r="V33" s="197" t="s">
        <v>1429</v>
      </c>
      <c r="W33" s="7" t="s">
        <v>3870</v>
      </c>
      <c r="X33" s="2" t="s">
        <v>182</v>
      </c>
      <c r="Y33" s="2" t="s">
        <v>3689</v>
      </c>
      <c r="Z33" s="3" t="s">
        <v>3818</v>
      </c>
      <c r="AA33" s="405" t="s">
        <v>622</v>
      </c>
      <c r="AB33" s="197" t="s">
        <v>1254</v>
      </c>
      <c r="AC33" s="7" t="s">
        <v>1255</v>
      </c>
      <c r="AD33" s="2" t="s">
        <v>1256</v>
      </c>
      <c r="AE33" s="2" t="s">
        <v>3613</v>
      </c>
      <c r="AF33" s="3" t="s">
        <v>2970</v>
      </c>
      <c r="AG33" s="405" t="s">
        <v>3308</v>
      </c>
      <c r="AH33" s="197" t="s">
        <v>3826</v>
      </c>
      <c r="AI33" s="7" t="s">
        <v>428</v>
      </c>
      <c r="AJ33" s="2" t="s">
        <v>179</v>
      </c>
      <c r="AK33" s="2" t="s">
        <v>180</v>
      </c>
      <c r="AL33" s="3" t="s">
        <v>1257</v>
      </c>
      <c r="AM33" s="197" t="s">
        <v>3310</v>
      </c>
      <c r="AN33" s="197" t="s">
        <v>1310</v>
      </c>
      <c r="AO33" s="7" t="s">
        <v>3350</v>
      </c>
      <c r="AP33" s="2" t="s">
        <v>1423</v>
      </c>
      <c r="AQ33" s="2" t="s">
        <v>1424</v>
      </c>
      <c r="AR33" s="3" t="s">
        <v>1425</v>
      </c>
      <c r="AS33" s="405" t="s">
        <v>3301</v>
      </c>
      <c r="AT33" s="197" t="s">
        <v>2668</v>
      </c>
      <c r="AU33" s="7" t="s">
        <v>3846</v>
      </c>
      <c r="AV33" s="2" t="s">
        <v>184</v>
      </c>
      <c r="AW33" s="2" t="s">
        <v>3368</v>
      </c>
      <c r="AX33" s="2" t="s">
        <v>1517</v>
      </c>
      <c r="AY33" s="405" t="s">
        <v>2356</v>
      </c>
      <c r="AZ33" s="197" t="s">
        <v>2668</v>
      </c>
      <c r="BA33" s="7" t="s">
        <v>3874</v>
      </c>
      <c r="BB33" s="2" t="s">
        <v>1420</v>
      </c>
      <c r="BC33" s="2" t="s">
        <v>1421</v>
      </c>
      <c r="BD33" s="3" t="s">
        <v>2675</v>
      </c>
      <c r="BE33" s="197" t="s">
        <v>3311</v>
      </c>
      <c r="BF33" s="197" t="s">
        <v>1973</v>
      </c>
      <c r="BG33" s="7" t="s">
        <v>1785</v>
      </c>
      <c r="BH33" s="2" t="s">
        <v>1788</v>
      </c>
      <c r="BI33" s="2" t="s">
        <v>2939</v>
      </c>
      <c r="BJ33" s="3" t="s">
        <v>1258</v>
      </c>
      <c r="BK33" s="405"/>
      <c r="BL33" s="197"/>
      <c r="BM33" s="7"/>
      <c r="BN33" s="2"/>
      <c r="BO33" s="2"/>
      <c r="BP33" s="3"/>
      <c r="BQ33" s="405"/>
      <c r="BR33" s="197"/>
      <c r="BS33" s="7"/>
      <c r="BT33" s="2"/>
      <c r="BU33" s="2"/>
      <c r="BV33" s="3"/>
      <c r="BW33" s="197"/>
      <c r="BX33" s="197"/>
      <c r="BY33" s="7"/>
      <c r="BZ33" s="2"/>
      <c r="CA33" s="2"/>
      <c r="CB33" s="3"/>
      <c r="CC33" s="197"/>
      <c r="CD33" s="197"/>
      <c r="CE33" s="7"/>
      <c r="CF33" s="2"/>
      <c r="CG33" s="2"/>
      <c r="CH33" s="3"/>
      <c r="CI33" s="405"/>
      <c r="CJ33" s="197"/>
      <c r="CK33" s="7"/>
      <c r="CL33" s="2"/>
      <c r="CM33" s="2"/>
      <c r="CN33" s="3"/>
      <c r="CO33" s="405"/>
      <c r="CP33" s="197"/>
      <c r="CQ33" s="7"/>
      <c r="CR33" s="2"/>
      <c r="CS33" s="2"/>
      <c r="CT33" s="3"/>
      <c r="CU33" s="280"/>
      <c r="CV33" s="280"/>
      <c r="CW33" s="2"/>
      <c r="CX33" s="2"/>
      <c r="CY33" s="2"/>
      <c r="CZ33" s="2"/>
      <c r="DA33" s="280"/>
      <c r="DB33" s="280"/>
      <c r="DC33" s="2"/>
      <c r="DD33" s="2"/>
      <c r="DE33" s="2"/>
      <c r="DF33" s="2"/>
      <c r="DG33" s="280"/>
      <c r="DH33" s="280"/>
      <c r="DI33" s="2"/>
      <c r="DJ33" s="2"/>
      <c r="DK33" s="2"/>
      <c r="DL33" s="2"/>
      <c r="DM33" s="280"/>
      <c r="DN33" s="280"/>
      <c r="DO33" s="2"/>
      <c r="DP33" s="2"/>
      <c r="DQ33" s="2"/>
      <c r="DR33" s="2"/>
      <c r="DS33" s="280"/>
      <c r="DT33" s="280"/>
      <c r="DU33" s="2"/>
      <c r="DV33" s="2"/>
      <c r="DW33" s="2"/>
      <c r="DX33" s="2"/>
      <c r="DY33" s="280"/>
      <c r="DZ33" s="280"/>
      <c r="EA33" s="2"/>
      <c r="EB33" s="2"/>
      <c r="EC33" s="2"/>
      <c r="ED33" s="2"/>
      <c r="EE33" s="280"/>
      <c r="EF33" s="280"/>
      <c r="EG33" s="2"/>
      <c r="EH33" s="2"/>
      <c r="EI33" s="2"/>
      <c r="EJ33" s="2"/>
      <c r="EK33" s="280"/>
      <c r="EL33" s="280"/>
      <c r="EM33" s="2"/>
      <c r="EN33" s="2"/>
      <c r="EO33" s="2"/>
      <c r="EP33" s="2"/>
      <c r="EQ33" s="280"/>
      <c r="ER33" s="280"/>
      <c r="ES33" s="2"/>
      <c r="ET33" s="2"/>
      <c r="EU33" s="2"/>
      <c r="EV33" s="2"/>
      <c r="EW33" s="280"/>
      <c r="EX33" s="280"/>
      <c r="EY33" s="2"/>
      <c r="EZ33" s="2"/>
      <c r="FA33" s="2"/>
      <c r="FB33" s="2"/>
      <c r="FC33" s="280"/>
      <c r="FD33" s="280"/>
      <c r="FE33" s="2"/>
      <c r="FF33" s="2"/>
      <c r="FG33" s="2"/>
      <c r="FH33" s="2"/>
      <c r="FI33" s="280"/>
      <c r="FJ33" s="280"/>
      <c r="FK33" s="2"/>
      <c r="FL33" s="2"/>
      <c r="FM33" s="2"/>
      <c r="FN33" s="2"/>
      <c r="FO33" s="280"/>
      <c r="FP33" s="280"/>
      <c r="FQ33" s="2"/>
      <c r="FR33" s="2"/>
      <c r="FS33" s="2"/>
      <c r="FT33" s="2"/>
      <c r="FU33" s="280"/>
      <c r="FV33" s="280"/>
      <c r="FW33" s="2"/>
      <c r="FX33" s="2"/>
      <c r="FY33" s="2"/>
      <c r="FZ33" s="2"/>
      <c r="GA33" s="280"/>
      <c r="GB33" s="280"/>
      <c r="GC33" s="2"/>
      <c r="GD33" s="2"/>
      <c r="GE33" s="2"/>
      <c r="GF33" s="2"/>
      <c r="GG33" s="280"/>
      <c r="GH33" s="280"/>
      <c r="GI33" s="2"/>
      <c r="GJ33" s="2"/>
      <c r="GK33" s="2"/>
      <c r="GL33" s="2"/>
      <c r="GM33" s="280"/>
      <c r="GN33" s="280"/>
      <c r="GO33" s="2"/>
      <c r="GP33" s="2"/>
      <c r="GQ33" s="2"/>
      <c r="GR33" s="2"/>
      <c r="GS33" s="280"/>
      <c r="GT33" s="280"/>
      <c r="GU33" s="2"/>
      <c r="GV33" s="2"/>
      <c r="GW33" s="2"/>
      <c r="GX33" s="2"/>
      <c r="GY33" s="280"/>
      <c r="GZ33" s="280"/>
      <c r="HA33" s="2"/>
      <c r="HB33" s="2"/>
      <c r="HC33" s="2"/>
      <c r="HD33" s="2"/>
      <c r="HE33" s="280"/>
      <c r="HF33" s="280"/>
      <c r="HG33" s="2"/>
      <c r="HH33" s="2"/>
      <c r="HI33" s="2"/>
      <c r="HJ33" s="2"/>
    </row>
    <row r="34" spans="1:218" ht="12.9" customHeight="1" x14ac:dyDescent="0.2">
      <c r="A34" s="10" t="str">
        <f>+'Past Quartets 1st - 3rd Place'!A34</f>
        <v>2004</v>
      </c>
      <c r="B34" s="503">
        <f>+'Past Quartets 1st - 3rd Place'!B34</f>
        <v>23</v>
      </c>
      <c r="C34" s="522" t="s">
        <v>3582</v>
      </c>
      <c r="D34" s="245" t="s">
        <v>3357</v>
      </c>
      <c r="E34" s="7" t="s">
        <v>735</v>
      </c>
      <c r="F34" s="2" t="s">
        <v>3552</v>
      </c>
      <c r="G34" s="2" t="s">
        <v>736</v>
      </c>
      <c r="H34" s="3" t="s">
        <v>3555</v>
      </c>
      <c r="I34" s="529" t="s">
        <v>2614</v>
      </c>
      <c r="J34" s="245" t="s">
        <v>3908</v>
      </c>
      <c r="K34" s="7" t="s">
        <v>2419</v>
      </c>
      <c r="L34" s="2" t="s">
        <v>430</v>
      </c>
      <c r="M34" s="2" t="s">
        <v>431</v>
      </c>
      <c r="N34" s="3" t="s">
        <v>432</v>
      </c>
      <c r="O34" s="405" t="s">
        <v>3589</v>
      </c>
      <c r="P34" s="197" t="s">
        <v>1429</v>
      </c>
      <c r="Q34" s="7" t="s">
        <v>3870</v>
      </c>
      <c r="R34" s="2" t="s">
        <v>182</v>
      </c>
      <c r="S34" s="2" t="s">
        <v>3689</v>
      </c>
      <c r="T34" s="3" t="s">
        <v>3818</v>
      </c>
      <c r="U34" s="197" t="s">
        <v>3583</v>
      </c>
      <c r="V34" s="197" t="s">
        <v>3826</v>
      </c>
      <c r="W34" s="7" t="s">
        <v>1259</v>
      </c>
      <c r="X34" s="2" t="s">
        <v>1260</v>
      </c>
      <c r="Y34" s="2" t="s">
        <v>1261</v>
      </c>
      <c r="Z34" s="3" t="s">
        <v>1262</v>
      </c>
      <c r="AA34" s="405" t="s">
        <v>3308</v>
      </c>
      <c r="AB34" s="197" t="s">
        <v>3826</v>
      </c>
      <c r="AC34" s="2" t="s">
        <v>428</v>
      </c>
      <c r="AD34" s="2" t="s">
        <v>179</v>
      </c>
      <c r="AE34" s="1" t="s">
        <v>1415</v>
      </c>
      <c r="AF34" s="2" t="s">
        <v>1257</v>
      </c>
      <c r="AG34" s="405" t="s">
        <v>622</v>
      </c>
      <c r="AH34" s="197" t="s">
        <v>1254</v>
      </c>
      <c r="AI34" s="7" t="s">
        <v>1255</v>
      </c>
      <c r="AJ34" s="2" t="s">
        <v>1256</v>
      </c>
      <c r="AK34" s="2" t="s">
        <v>3613</v>
      </c>
      <c r="AL34" s="3" t="s">
        <v>2970</v>
      </c>
      <c r="AM34" s="197" t="s">
        <v>623</v>
      </c>
      <c r="AN34" s="197" t="s">
        <v>1310</v>
      </c>
      <c r="AO34" s="7" t="s">
        <v>3350</v>
      </c>
      <c r="AP34" s="2" t="s">
        <v>1423</v>
      </c>
      <c r="AQ34" s="2" t="s">
        <v>1424</v>
      </c>
      <c r="AR34" s="3" t="s">
        <v>1425</v>
      </c>
      <c r="AS34" s="405" t="s">
        <v>618</v>
      </c>
      <c r="AT34" s="197" t="s">
        <v>1838</v>
      </c>
      <c r="AU34" s="7" t="s">
        <v>2952</v>
      </c>
      <c r="AV34" s="2" t="s">
        <v>2953</v>
      </c>
      <c r="AW34" s="2" t="s">
        <v>2954</v>
      </c>
      <c r="AX34" s="3" t="s">
        <v>2955</v>
      </c>
      <c r="AY34" s="405" t="s">
        <v>770</v>
      </c>
      <c r="AZ34" s="197" t="s">
        <v>1263</v>
      </c>
      <c r="BA34" s="2" t="s">
        <v>350</v>
      </c>
      <c r="BB34" s="2" t="s">
        <v>1264</v>
      </c>
      <c r="BC34" s="1" t="s">
        <v>2165</v>
      </c>
      <c r="BD34" s="3" t="s">
        <v>503</v>
      </c>
      <c r="BE34" s="197" t="s">
        <v>2096</v>
      </c>
      <c r="BF34" s="197" t="s">
        <v>1879</v>
      </c>
      <c r="BG34" s="7" t="s">
        <v>1265</v>
      </c>
      <c r="BH34" s="2" t="s">
        <v>2160</v>
      </c>
      <c r="BI34" s="2" t="s">
        <v>1463</v>
      </c>
      <c r="BJ34" s="3" t="s">
        <v>690</v>
      </c>
      <c r="BK34" s="405"/>
      <c r="BL34" s="197"/>
      <c r="BM34" s="7"/>
      <c r="BN34" s="2"/>
      <c r="BO34" s="2"/>
      <c r="BP34" s="3"/>
      <c r="BQ34" s="405"/>
      <c r="BR34" s="197"/>
      <c r="BS34" s="2"/>
      <c r="BT34" s="2"/>
      <c r="BU34" s="1"/>
      <c r="BV34" s="3"/>
      <c r="BW34" s="197"/>
      <c r="BX34" s="197"/>
      <c r="BY34" s="2"/>
      <c r="BZ34" s="2"/>
      <c r="CA34" s="1"/>
      <c r="CB34" s="3"/>
      <c r="CC34" s="197"/>
      <c r="CD34" s="197"/>
      <c r="CE34" s="7"/>
      <c r="CF34" s="2"/>
      <c r="CG34" s="2"/>
      <c r="CH34" s="3"/>
      <c r="CI34" s="405"/>
      <c r="CJ34" s="197"/>
      <c r="CK34" s="7"/>
      <c r="CL34" s="2"/>
      <c r="CM34" s="2"/>
      <c r="CN34" s="3"/>
      <c r="CO34" s="405"/>
      <c r="CP34" s="197"/>
      <c r="CQ34" s="2"/>
      <c r="CR34" s="2"/>
      <c r="CS34" s="2"/>
      <c r="CT34" s="3"/>
      <c r="CU34" s="280"/>
      <c r="CV34" s="280"/>
      <c r="CW34" s="2"/>
      <c r="CX34" s="2"/>
      <c r="CY34" s="2"/>
      <c r="CZ34" s="2"/>
      <c r="DA34" s="280"/>
      <c r="DB34" s="280"/>
      <c r="DC34" s="2"/>
      <c r="DD34" s="2"/>
      <c r="DE34" s="2"/>
      <c r="DF34" s="2"/>
      <c r="DG34" s="280"/>
      <c r="DH34" s="280"/>
      <c r="DI34" s="2"/>
      <c r="DJ34" s="2"/>
      <c r="DK34" s="2"/>
      <c r="DL34" s="2"/>
      <c r="DM34" s="280"/>
      <c r="DN34" s="280"/>
      <c r="DO34" s="2"/>
      <c r="DP34" s="2"/>
      <c r="DQ34" s="2"/>
      <c r="DR34" s="2"/>
      <c r="DS34" s="280"/>
      <c r="DT34" s="280"/>
      <c r="DU34" s="2"/>
      <c r="DV34" s="2"/>
      <c r="DW34" s="2"/>
      <c r="DX34" s="2"/>
      <c r="DY34" s="280"/>
      <c r="DZ34" s="280"/>
      <c r="EA34" s="2"/>
      <c r="EB34" s="2"/>
      <c r="EC34" s="2"/>
      <c r="ED34" s="2"/>
      <c r="EE34" s="280"/>
      <c r="EF34" s="280"/>
      <c r="EG34" s="2"/>
      <c r="EH34" s="2"/>
      <c r="EI34" s="2"/>
      <c r="EJ34" s="2"/>
      <c r="EK34" s="280"/>
      <c r="EL34" s="280"/>
      <c r="EM34" s="2"/>
      <c r="EN34" s="2"/>
      <c r="EO34" s="2"/>
      <c r="EP34" s="2"/>
      <c r="EQ34" s="280"/>
      <c r="ER34" s="280"/>
      <c r="ES34" s="2"/>
      <c r="ET34" s="2"/>
      <c r="EU34" s="2"/>
      <c r="EV34" s="2"/>
      <c r="EW34" s="280"/>
      <c r="EX34" s="280"/>
      <c r="EY34" s="2"/>
      <c r="EZ34" s="2"/>
      <c r="FA34" s="2"/>
      <c r="FB34" s="2"/>
      <c r="FC34" s="280"/>
      <c r="FD34" s="280"/>
      <c r="FE34" s="2"/>
      <c r="FF34" s="2"/>
      <c r="FG34" s="2"/>
      <c r="FH34" s="2"/>
      <c r="FI34" s="280"/>
      <c r="FJ34" s="280"/>
      <c r="FK34" s="2"/>
      <c r="FL34" s="2"/>
      <c r="FM34" s="2"/>
      <c r="FN34" s="2"/>
      <c r="FO34" s="280"/>
      <c r="FP34" s="280"/>
      <c r="FQ34" s="2"/>
      <c r="FR34" s="2"/>
      <c r="FS34" s="2"/>
      <c r="FT34" s="2"/>
      <c r="FU34" s="280"/>
      <c r="FV34" s="280"/>
      <c r="FW34" s="2"/>
      <c r="FX34" s="2"/>
      <c r="FY34" s="2"/>
      <c r="FZ34" s="2"/>
      <c r="GA34" s="280"/>
      <c r="GB34" s="280"/>
      <c r="GC34" s="2"/>
      <c r="GD34" s="2"/>
      <c r="GE34" s="2"/>
      <c r="GF34" s="2"/>
      <c r="GG34" s="280"/>
      <c r="GH34" s="280"/>
      <c r="GI34" s="2"/>
      <c r="GJ34" s="2"/>
      <c r="GK34" s="2"/>
      <c r="GL34" s="2"/>
      <c r="GM34" s="280"/>
      <c r="GN34" s="280"/>
      <c r="GO34" s="2"/>
      <c r="GP34" s="2"/>
      <c r="GQ34" s="2"/>
      <c r="GR34" s="2"/>
      <c r="GS34" s="280"/>
      <c r="GT34" s="280"/>
      <c r="GU34" s="2"/>
      <c r="GV34" s="2"/>
      <c r="GW34" s="2"/>
      <c r="GX34" s="2"/>
      <c r="GY34" s="280"/>
      <c r="GZ34" s="280"/>
      <c r="HA34" s="2"/>
      <c r="HB34" s="2"/>
      <c r="HC34" s="2"/>
      <c r="HD34" s="2"/>
      <c r="HE34" s="280"/>
      <c r="HF34" s="280"/>
      <c r="HG34" s="2"/>
      <c r="HH34" s="2"/>
      <c r="HI34" s="2"/>
      <c r="HJ34" s="2"/>
    </row>
    <row r="35" spans="1:218" ht="12.9" customHeight="1" x14ac:dyDescent="0.2">
      <c r="A35" s="10">
        <f>+'Past Quartets 1st - 3rd Place'!A35</f>
        <v>2005</v>
      </c>
      <c r="B35" s="503">
        <f>+'Past Quartets 1st - 3rd Place'!B35</f>
        <v>29</v>
      </c>
      <c r="C35" s="528" t="s">
        <v>3584</v>
      </c>
      <c r="D35" s="250" t="s">
        <v>635</v>
      </c>
      <c r="E35" s="27" t="s">
        <v>2265</v>
      </c>
      <c r="F35" s="27" t="s">
        <v>3609</v>
      </c>
      <c r="G35" s="27" t="s">
        <v>3689</v>
      </c>
      <c r="H35" s="28" t="s">
        <v>3610</v>
      </c>
      <c r="I35" s="245" t="s">
        <v>2348</v>
      </c>
      <c r="J35" s="249" t="s">
        <v>148</v>
      </c>
      <c r="K35" s="10" t="s">
        <v>2349</v>
      </c>
      <c r="L35" s="8" t="s">
        <v>2350</v>
      </c>
      <c r="M35" s="8" t="s">
        <v>2351</v>
      </c>
      <c r="N35" s="6" t="s">
        <v>2536</v>
      </c>
      <c r="O35" s="280" t="s">
        <v>821</v>
      </c>
      <c r="P35" s="197" t="s">
        <v>579</v>
      </c>
      <c r="Q35" s="2" t="s">
        <v>822</v>
      </c>
      <c r="R35" s="2" t="s">
        <v>823</v>
      </c>
      <c r="S35" s="2" t="s">
        <v>824</v>
      </c>
      <c r="T35" s="3" t="s">
        <v>825</v>
      </c>
      <c r="U35" s="197" t="s">
        <v>3583</v>
      </c>
      <c r="V35" s="197" t="s">
        <v>3826</v>
      </c>
      <c r="W35" s="7" t="s">
        <v>1259</v>
      </c>
      <c r="X35" s="2" t="s">
        <v>1260</v>
      </c>
      <c r="Y35" s="2" t="s">
        <v>1261</v>
      </c>
      <c r="Z35" s="3" t="s">
        <v>1262</v>
      </c>
      <c r="AA35" s="280" t="s">
        <v>3301</v>
      </c>
      <c r="AB35" s="197" t="s">
        <v>2668</v>
      </c>
      <c r="AC35" s="2" t="s">
        <v>3846</v>
      </c>
      <c r="AD35" s="2" t="s">
        <v>184</v>
      </c>
      <c r="AE35" s="2" t="s">
        <v>3368</v>
      </c>
      <c r="AF35" s="3" t="s">
        <v>185</v>
      </c>
      <c r="AG35" s="280" t="s">
        <v>624</v>
      </c>
      <c r="AH35" s="197" t="s">
        <v>1266</v>
      </c>
      <c r="AI35" s="2" t="s">
        <v>3086</v>
      </c>
      <c r="AJ35" s="2" t="s">
        <v>177</v>
      </c>
      <c r="AK35" s="2" t="s">
        <v>255</v>
      </c>
      <c r="AL35" s="3" t="s">
        <v>178</v>
      </c>
      <c r="AM35" s="197" t="s">
        <v>629</v>
      </c>
      <c r="AN35" s="197" t="s">
        <v>3822</v>
      </c>
      <c r="AO35" s="2" t="s">
        <v>3687</v>
      </c>
      <c r="AP35" s="2" t="s">
        <v>2946</v>
      </c>
      <c r="AQ35" s="1" t="s">
        <v>1271</v>
      </c>
      <c r="AR35" s="3" t="s">
        <v>1267</v>
      </c>
      <c r="AS35" s="280" t="s">
        <v>627</v>
      </c>
      <c r="AT35" s="197" t="s">
        <v>3826</v>
      </c>
      <c r="AU35" s="2" t="s">
        <v>1416</v>
      </c>
      <c r="AV35" s="2" t="s">
        <v>2332</v>
      </c>
      <c r="AW35" s="2" t="s">
        <v>3083</v>
      </c>
      <c r="AX35" s="3" t="s">
        <v>1268</v>
      </c>
      <c r="AY35" s="280" t="s">
        <v>628</v>
      </c>
      <c r="AZ35" s="197" t="s">
        <v>148</v>
      </c>
      <c r="BA35" s="2" t="s">
        <v>1269</v>
      </c>
      <c r="BB35" s="2" t="s">
        <v>1270</v>
      </c>
      <c r="BC35" s="2" t="s">
        <v>429</v>
      </c>
      <c r="BD35" s="3" t="s">
        <v>3601</v>
      </c>
      <c r="BE35" s="197"/>
      <c r="BF35" s="197"/>
      <c r="BG35" s="2"/>
      <c r="BH35" s="2"/>
      <c r="BJ35" s="3"/>
      <c r="BK35" s="280"/>
      <c r="BL35" s="197"/>
      <c r="BM35" s="2"/>
      <c r="BN35" s="2"/>
      <c r="BO35" s="2"/>
      <c r="BP35" s="3"/>
      <c r="BQ35" s="280"/>
      <c r="BR35" s="197"/>
      <c r="BS35" s="2"/>
      <c r="BT35" s="2"/>
      <c r="BU35" s="2"/>
      <c r="BV35" s="3"/>
      <c r="BW35" s="197"/>
      <c r="BX35" s="197"/>
      <c r="BY35" s="2"/>
      <c r="BZ35" s="2"/>
      <c r="CA35" s="2"/>
      <c r="CB35" s="3"/>
      <c r="CC35" s="504"/>
      <c r="CD35" s="197"/>
      <c r="CE35" s="2"/>
      <c r="CF35" s="2"/>
      <c r="CH35" s="3"/>
      <c r="CI35" s="280"/>
      <c r="CJ35" s="197"/>
      <c r="CK35" s="2"/>
      <c r="CL35" s="2"/>
      <c r="CM35" s="2"/>
      <c r="CN35" s="3"/>
      <c r="CO35" s="405"/>
      <c r="CP35" s="197"/>
      <c r="CQ35" s="2"/>
      <c r="CR35" s="2"/>
      <c r="CS35" s="2"/>
      <c r="CT35" s="3"/>
      <c r="CU35" s="280"/>
      <c r="CV35" s="280"/>
      <c r="CW35" s="2"/>
      <c r="CX35" s="2"/>
      <c r="CY35" s="2"/>
      <c r="CZ35" s="2"/>
      <c r="DA35" s="280"/>
      <c r="DB35" s="280"/>
      <c r="DC35" s="2"/>
      <c r="DD35" s="2"/>
      <c r="DE35" s="2"/>
      <c r="DF35" s="2"/>
      <c r="DG35" s="280"/>
      <c r="DH35" s="280"/>
      <c r="DI35" s="2"/>
      <c r="DJ35" s="2"/>
      <c r="DK35" s="2"/>
      <c r="DL35" s="2"/>
      <c r="DM35" s="280"/>
      <c r="DN35" s="280"/>
      <c r="DO35" s="2"/>
      <c r="DP35" s="2"/>
      <c r="DQ35" s="2"/>
      <c r="DR35" s="2"/>
      <c r="DS35" s="280"/>
      <c r="DT35" s="280"/>
      <c r="DU35" s="2"/>
      <c r="DV35" s="2"/>
      <c r="DW35" s="2"/>
      <c r="DX35" s="2"/>
      <c r="DY35" s="280"/>
      <c r="DZ35" s="280"/>
      <c r="EA35" s="2"/>
      <c r="EB35" s="2"/>
      <c r="EC35" s="2"/>
      <c r="ED35" s="2"/>
      <c r="EE35" s="280"/>
      <c r="EF35" s="280"/>
      <c r="EG35" s="2"/>
      <c r="EH35" s="2"/>
      <c r="EI35" s="2"/>
      <c r="EJ35" s="2"/>
      <c r="EK35" s="280"/>
      <c r="EL35" s="280"/>
      <c r="EM35" s="2"/>
      <c r="EN35" s="2"/>
      <c r="EO35" s="2"/>
      <c r="EP35" s="2"/>
      <c r="EQ35" s="280"/>
      <c r="ER35" s="280"/>
      <c r="ES35" s="2"/>
      <c r="ET35" s="2"/>
      <c r="EU35" s="2"/>
      <c r="EV35" s="2"/>
      <c r="EW35" s="280"/>
      <c r="EX35" s="280"/>
      <c r="EY35" s="2"/>
      <c r="EZ35" s="2"/>
      <c r="FA35" s="2"/>
      <c r="FB35" s="2"/>
      <c r="FC35" s="280"/>
      <c r="FD35" s="280"/>
      <c r="FE35" s="2"/>
      <c r="FF35" s="2"/>
      <c r="FG35" s="2"/>
      <c r="FH35" s="2"/>
      <c r="FI35" s="280"/>
      <c r="FJ35" s="280"/>
      <c r="FK35" s="2"/>
      <c r="FL35" s="2"/>
      <c r="FM35" s="2"/>
      <c r="FN35" s="2"/>
      <c r="FO35" s="280"/>
      <c r="FP35" s="280"/>
      <c r="FQ35" s="2"/>
      <c r="FR35" s="2"/>
      <c r="FS35" s="2"/>
      <c r="FT35" s="2"/>
      <c r="FU35" s="280"/>
      <c r="FV35" s="280"/>
      <c r="FW35" s="2"/>
      <c r="FX35" s="2"/>
      <c r="FY35" s="2"/>
      <c r="FZ35" s="2"/>
      <c r="GA35" s="280"/>
      <c r="GB35" s="280"/>
      <c r="GC35" s="2"/>
      <c r="GD35" s="2"/>
      <c r="GE35" s="2"/>
      <c r="GF35" s="2"/>
      <c r="GG35" s="280"/>
      <c r="GH35" s="280"/>
      <c r="GI35" s="2"/>
      <c r="GJ35" s="2"/>
      <c r="GK35" s="2"/>
      <c r="GL35" s="2"/>
      <c r="GM35" s="280"/>
      <c r="GN35" s="280"/>
      <c r="GO35" s="2"/>
      <c r="GP35" s="2"/>
      <c r="GQ35" s="2"/>
      <c r="GR35" s="2"/>
      <c r="GS35" s="280"/>
      <c r="GT35" s="280"/>
      <c r="GU35" s="2"/>
      <c r="GV35" s="2"/>
      <c r="GW35" s="2"/>
      <c r="GX35" s="2"/>
      <c r="GY35" s="280"/>
      <c r="GZ35" s="280"/>
      <c r="HA35" s="2"/>
      <c r="HB35" s="2"/>
      <c r="HC35" s="2"/>
      <c r="HD35" s="2"/>
      <c r="HE35" s="280"/>
      <c r="HF35" s="280"/>
      <c r="HG35" s="2"/>
      <c r="HH35" s="2"/>
      <c r="HI35" s="2"/>
      <c r="HJ35" s="2"/>
    </row>
    <row r="36" spans="1:218" ht="12.9" customHeight="1" x14ac:dyDescent="0.2">
      <c r="A36" s="10">
        <f>+'Past Quartets 1st - 3rd Place'!A36</f>
        <v>2006</v>
      </c>
      <c r="B36" s="503">
        <f>+'Past Quartets 1st - 3rd Place'!B36</f>
        <v>27</v>
      </c>
      <c r="C36" s="522" t="s">
        <v>632</v>
      </c>
      <c r="D36" s="245" t="s">
        <v>2668</v>
      </c>
      <c r="E36" s="2" t="s">
        <v>2672</v>
      </c>
      <c r="F36" s="2" t="s">
        <v>3081</v>
      </c>
      <c r="G36" s="2" t="s">
        <v>1272</v>
      </c>
      <c r="H36" s="3" t="s">
        <v>3368</v>
      </c>
      <c r="I36" s="529" t="s">
        <v>3584</v>
      </c>
      <c r="J36" s="250" t="s">
        <v>4633</v>
      </c>
      <c r="K36" s="27" t="s">
        <v>2265</v>
      </c>
      <c r="L36" s="27" t="s">
        <v>3609</v>
      </c>
      <c r="M36" s="27" t="s">
        <v>3689</v>
      </c>
      <c r="N36" s="28" t="s">
        <v>3610</v>
      </c>
      <c r="O36" s="405" t="s">
        <v>624</v>
      </c>
      <c r="P36" s="197" t="s">
        <v>1840</v>
      </c>
      <c r="Q36" s="27" t="s">
        <v>3086</v>
      </c>
      <c r="R36" s="27" t="s">
        <v>177</v>
      </c>
      <c r="S36" s="27" t="s">
        <v>3088</v>
      </c>
      <c r="T36" s="28" t="s">
        <v>178</v>
      </c>
      <c r="U36" s="197" t="s">
        <v>1553</v>
      </c>
      <c r="V36" s="197" t="s">
        <v>3580</v>
      </c>
      <c r="W36" s="2" t="s">
        <v>1273</v>
      </c>
      <c r="X36" s="2" t="s">
        <v>2139</v>
      </c>
      <c r="Y36" s="2" t="s">
        <v>813</v>
      </c>
      <c r="Z36" s="3" t="s">
        <v>3690</v>
      </c>
      <c r="AA36" s="405" t="s">
        <v>821</v>
      </c>
      <c r="AB36" s="197" t="s">
        <v>579</v>
      </c>
      <c r="AC36" s="2" t="s">
        <v>822</v>
      </c>
      <c r="AD36" s="2" t="s">
        <v>823</v>
      </c>
      <c r="AE36" s="2" t="s">
        <v>824</v>
      </c>
      <c r="AF36" s="3" t="s">
        <v>825</v>
      </c>
      <c r="AG36" s="405" t="s">
        <v>1552</v>
      </c>
      <c r="AH36" s="204" t="s">
        <v>1426</v>
      </c>
      <c r="AI36" s="27" t="s">
        <v>735</v>
      </c>
      <c r="AJ36" s="27" t="s">
        <v>166</v>
      </c>
      <c r="AK36" s="27" t="s">
        <v>2308</v>
      </c>
      <c r="AL36" s="28" t="s">
        <v>3555</v>
      </c>
      <c r="AM36" s="197" t="s">
        <v>630</v>
      </c>
      <c r="AN36" s="197" t="s">
        <v>1838</v>
      </c>
      <c r="AO36" s="2" t="s">
        <v>1839</v>
      </c>
      <c r="AP36" s="2" t="s">
        <v>430</v>
      </c>
      <c r="AQ36" s="2" t="s">
        <v>431</v>
      </c>
      <c r="AR36" s="3" t="s">
        <v>432</v>
      </c>
      <c r="AS36" s="405" t="s">
        <v>3583</v>
      </c>
      <c r="AT36" s="197" t="s">
        <v>3826</v>
      </c>
      <c r="AU36" s="7" t="s">
        <v>1259</v>
      </c>
      <c r="AV36" s="2" t="s">
        <v>1260</v>
      </c>
      <c r="AW36" s="2" t="s">
        <v>1261</v>
      </c>
      <c r="AX36" s="3" t="s">
        <v>1262</v>
      </c>
      <c r="AY36" s="405" t="s">
        <v>3311</v>
      </c>
      <c r="AZ36" s="204" t="s">
        <v>1973</v>
      </c>
      <c r="BA36" s="27" t="s">
        <v>1785</v>
      </c>
      <c r="BB36" s="27" t="s">
        <v>1786</v>
      </c>
      <c r="BC36" s="27" t="s">
        <v>2939</v>
      </c>
      <c r="BD36" s="28" t="s">
        <v>1788</v>
      </c>
      <c r="BE36" s="197" t="s">
        <v>3308</v>
      </c>
      <c r="BF36" s="197" t="s">
        <v>3826</v>
      </c>
      <c r="BG36" s="2" t="s">
        <v>428</v>
      </c>
      <c r="BH36" s="2" t="s">
        <v>179</v>
      </c>
      <c r="BI36" s="2" t="s">
        <v>180</v>
      </c>
      <c r="BJ36" s="3" t="s">
        <v>1274</v>
      </c>
      <c r="BK36" s="405"/>
      <c r="BL36" s="197"/>
      <c r="BM36" s="7"/>
      <c r="BN36" s="2"/>
      <c r="BO36" s="2"/>
      <c r="BP36" s="3"/>
      <c r="BQ36" s="405"/>
      <c r="BR36" s="204"/>
      <c r="BS36" s="27"/>
      <c r="BT36" s="27"/>
      <c r="BU36" s="27"/>
      <c r="BV36" s="28"/>
      <c r="BW36" s="197"/>
      <c r="BX36" s="204"/>
      <c r="BY36" s="27"/>
      <c r="BZ36" s="27"/>
      <c r="CA36" s="27"/>
      <c r="CB36" s="28"/>
      <c r="CC36" s="405"/>
      <c r="CD36" s="197"/>
      <c r="CE36" s="2"/>
      <c r="CF36" s="2"/>
      <c r="CG36" s="2"/>
      <c r="CH36" s="3"/>
      <c r="CI36" s="405"/>
      <c r="CJ36" s="197"/>
      <c r="CK36" s="7"/>
      <c r="CL36" s="2"/>
      <c r="CM36" s="2"/>
      <c r="CN36" s="3"/>
      <c r="CO36" s="405"/>
      <c r="CP36" s="204"/>
      <c r="CQ36" s="27"/>
      <c r="CR36" s="27"/>
      <c r="CS36" s="27"/>
      <c r="CT36" s="28"/>
      <c r="CU36" s="280"/>
      <c r="CV36" s="425"/>
      <c r="CW36" s="27"/>
      <c r="CX36" s="27"/>
      <c r="CY36" s="27"/>
      <c r="CZ36" s="27"/>
      <c r="DA36" s="280"/>
      <c r="DB36" s="425"/>
      <c r="DC36" s="27"/>
      <c r="DD36" s="27"/>
      <c r="DE36" s="27"/>
      <c r="DF36" s="27"/>
      <c r="DG36" s="280"/>
      <c r="DH36" s="425"/>
      <c r="DI36" s="27"/>
      <c r="DJ36" s="27"/>
      <c r="DK36" s="27"/>
      <c r="DL36" s="27"/>
      <c r="DM36" s="280"/>
      <c r="DN36" s="425"/>
      <c r="DO36" s="27"/>
      <c r="DP36" s="27"/>
      <c r="DQ36" s="27"/>
      <c r="DR36" s="27"/>
      <c r="DS36" s="280"/>
      <c r="DT36" s="425"/>
      <c r="DU36" s="27"/>
      <c r="DV36" s="27"/>
      <c r="DW36" s="27"/>
      <c r="DX36" s="27"/>
      <c r="DY36" s="280"/>
      <c r="DZ36" s="425"/>
      <c r="EA36" s="27"/>
      <c r="EB36" s="27"/>
      <c r="EC36" s="27"/>
      <c r="ED36" s="27"/>
      <c r="EE36" s="280"/>
      <c r="EF36" s="425"/>
      <c r="EG36" s="27"/>
      <c r="EH36" s="27"/>
      <c r="EI36" s="27"/>
      <c r="EJ36" s="27"/>
      <c r="EK36" s="280"/>
      <c r="EL36" s="425"/>
      <c r="EM36" s="27"/>
      <c r="EN36" s="27"/>
      <c r="EO36" s="27"/>
      <c r="EP36" s="27"/>
      <c r="EQ36" s="280"/>
      <c r="ER36" s="425"/>
      <c r="ES36" s="27"/>
      <c r="ET36" s="27"/>
      <c r="EU36" s="27"/>
      <c r="EV36" s="27"/>
      <c r="EW36" s="280"/>
      <c r="EX36" s="425"/>
      <c r="EY36" s="27"/>
      <c r="EZ36" s="27"/>
      <c r="FA36" s="27"/>
      <c r="FB36" s="27"/>
      <c r="FC36" s="280"/>
      <c r="FD36" s="425"/>
      <c r="FE36" s="27"/>
      <c r="FF36" s="27"/>
      <c r="FG36" s="27"/>
      <c r="FH36" s="27"/>
      <c r="FI36" s="280"/>
      <c r="FJ36" s="425"/>
      <c r="FK36" s="27"/>
      <c r="FL36" s="27"/>
      <c r="FM36" s="27"/>
      <c r="FN36" s="27"/>
      <c r="FO36" s="280"/>
      <c r="FP36" s="425"/>
      <c r="FQ36" s="27"/>
      <c r="FR36" s="27"/>
      <c r="FS36" s="27"/>
      <c r="FT36" s="27"/>
      <c r="FU36" s="280"/>
      <c r="FV36" s="425"/>
      <c r="FW36" s="27"/>
      <c r="FX36" s="27"/>
      <c r="FY36" s="27"/>
      <c r="FZ36" s="27"/>
      <c r="GA36" s="280"/>
      <c r="GB36" s="425"/>
      <c r="GC36" s="27"/>
      <c r="GD36" s="27"/>
      <c r="GE36" s="27"/>
      <c r="GF36" s="27"/>
      <c r="GG36" s="280"/>
      <c r="GH36" s="425"/>
      <c r="GI36" s="27"/>
      <c r="GJ36" s="27"/>
      <c r="GK36" s="27"/>
      <c r="GL36" s="27"/>
      <c r="GM36" s="280"/>
      <c r="GN36" s="425"/>
      <c r="GO36" s="27"/>
      <c r="GP36" s="27"/>
      <c r="GQ36" s="27"/>
      <c r="GR36" s="27"/>
      <c r="GS36" s="280"/>
      <c r="GT36" s="425"/>
      <c r="GU36" s="27"/>
      <c r="GV36" s="27"/>
      <c r="GW36" s="27"/>
      <c r="GX36" s="27"/>
      <c r="GY36" s="280"/>
      <c r="GZ36" s="425"/>
      <c r="HA36" s="27"/>
      <c r="HB36" s="27"/>
      <c r="HC36" s="27"/>
      <c r="HD36" s="27"/>
      <c r="HE36" s="280"/>
      <c r="HF36" s="425"/>
      <c r="HG36" s="27"/>
      <c r="HH36" s="27"/>
      <c r="HI36" s="27"/>
      <c r="HJ36" s="27"/>
    </row>
    <row r="37" spans="1:218" s="507" customFormat="1" ht="12.9" customHeight="1" x14ac:dyDescent="0.2">
      <c r="A37" s="10">
        <f>+'Past Quartets 1st - 3rd Place'!A37</f>
        <v>2007</v>
      </c>
      <c r="B37" s="503">
        <f>+'Past Quartets 1st - 3rd Place'!B37</f>
        <v>28</v>
      </c>
      <c r="C37" s="522" t="s">
        <v>413</v>
      </c>
      <c r="D37" s="245" t="s">
        <v>414</v>
      </c>
      <c r="E37" s="2" t="s">
        <v>415</v>
      </c>
      <c r="F37" s="2" t="s">
        <v>416</v>
      </c>
      <c r="G37" s="2" t="s">
        <v>417</v>
      </c>
      <c r="H37" s="3" t="s">
        <v>418</v>
      </c>
      <c r="I37" s="522" t="s">
        <v>1552</v>
      </c>
      <c r="J37" s="245" t="s">
        <v>2307</v>
      </c>
      <c r="K37" s="2" t="s">
        <v>735</v>
      </c>
      <c r="L37" s="2" t="s">
        <v>166</v>
      </c>
      <c r="M37" s="2" t="s">
        <v>2308</v>
      </c>
      <c r="N37" s="2" t="s">
        <v>3555</v>
      </c>
      <c r="O37" s="197" t="s">
        <v>3338</v>
      </c>
      <c r="P37" s="245" t="s">
        <v>3090</v>
      </c>
      <c r="Q37" s="2" t="s">
        <v>3091</v>
      </c>
      <c r="R37" s="2" t="s">
        <v>3078</v>
      </c>
      <c r="S37" s="2" t="s">
        <v>3092</v>
      </c>
      <c r="T37" s="3" t="s">
        <v>3093</v>
      </c>
      <c r="U37" s="197" t="s">
        <v>632</v>
      </c>
      <c r="V37" s="245" t="s">
        <v>2668</v>
      </c>
      <c r="W37" s="2" t="s">
        <v>2672</v>
      </c>
      <c r="X37" s="2" t="s">
        <v>3081</v>
      </c>
      <c r="Y37" s="2" t="s">
        <v>1272</v>
      </c>
      <c r="Z37" s="3" t="s">
        <v>3368</v>
      </c>
      <c r="AA37" s="280" t="s">
        <v>3583</v>
      </c>
      <c r="AB37" s="197" t="s">
        <v>3826</v>
      </c>
      <c r="AC37" s="7" t="s">
        <v>1259</v>
      </c>
      <c r="AD37" s="2" t="s">
        <v>1260</v>
      </c>
      <c r="AE37" s="2" t="s">
        <v>1261</v>
      </c>
      <c r="AF37" s="3" t="s">
        <v>1262</v>
      </c>
      <c r="AG37" s="197" t="s">
        <v>1557</v>
      </c>
      <c r="AH37" s="197" t="s">
        <v>3029</v>
      </c>
      <c r="AI37" s="7" t="s">
        <v>2417</v>
      </c>
      <c r="AJ37" s="2" t="s">
        <v>1270</v>
      </c>
      <c r="AK37" s="2" t="s">
        <v>2462</v>
      </c>
      <c r="AL37" s="3" t="s">
        <v>2457</v>
      </c>
      <c r="AM37" s="197" t="s">
        <v>3311</v>
      </c>
      <c r="AN37" s="204" t="s">
        <v>1973</v>
      </c>
      <c r="AO37" s="27" t="s">
        <v>1785</v>
      </c>
      <c r="AP37" s="27" t="s">
        <v>1786</v>
      </c>
      <c r="AQ37" s="27" t="s">
        <v>2939</v>
      </c>
      <c r="AR37" s="28" t="s">
        <v>1788</v>
      </c>
      <c r="AS37" s="280" t="s">
        <v>3355</v>
      </c>
      <c r="AT37" s="197" t="s">
        <v>2668</v>
      </c>
      <c r="AU37" s="2" t="s">
        <v>2672</v>
      </c>
      <c r="AV37" s="2" t="s">
        <v>3472</v>
      </c>
      <c r="AW37" s="2" t="s">
        <v>3367</v>
      </c>
      <c r="AX37" s="3" t="s">
        <v>3368</v>
      </c>
      <c r="AY37" s="197" t="s">
        <v>1558</v>
      </c>
      <c r="AZ37" s="197" t="s">
        <v>2639</v>
      </c>
      <c r="BA37" s="2" t="s">
        <v>3958</v>
      </c>
      <c r="BB37" s="2" t="s">
        <v>3959</v>
      </c>
      <c r="BC37" s="2" t="s">
        <v>2533</v>
      </c>
      <c r="BD37" s="3" t="s">
        <v>3960</v>
      </c>
      <c r="BE37" s="197" t="s">
        <v>3308</v>
      </c>
      <c r="BF37" s="197" t="s">
        <v>3826</v>
      </c>
      <c r="BG37" s="2" t="s">
        <v>428</v>
      </c>
      <c r="BH37" s="2" t="s">
        <v>179</v>
      </c>
      <c r="BI37" s="2" t="s">
        <v>180</v>
      </c>
      <c r="BJ37" s="3" t="s">
        <v>1274</v>
      </c>
      <c r="BK37" s="280" t="s">
        <v>2356</v>
      </c>
      <c r="BL37" s="197" t="s">
        <v>2668</v>
      </c>
      <c r="BM37" s="2" t="s">
        <v>3874</v>
      </c>
      <c r="BN37" s="2" t="s">
        <v>1420</v>
      </c>
      <c r="BO37" s="2" t="s">
        <v>1421</v>
      </c>
      <c r="BP37" s="2" t="s">
        <v>2675</v>
      </c>
      <c r="BQ37" s="197"/>
      <c r="BR37" s="197"/>
      <c r="BS37" s="2"/>
      <c r="BT37" s="2"/>
      <c r="BU37" s="2"/>
      <c r="BV37" s="3"/>
      <c r="BW37" s="197"/>
      <c r="BX37" s="197"/>
      <c r="BY37" s="2"/>
      <c r="BZ37" s="2"/>
      <c r="CA37" s="2"/>
      <c r="CB37" s="3"/>
      <c r="CC37" s="280"/>
      <c r="CD37" s="197"/>
      <c r="CE37" s="2"/>
      <c r="CF37" s="2"/>
      <c r="CG37" s="2"/>
      <c r="CH37" s="3"/>
      <c r="CI37" s="280"/>
      <c r="CJ37" s="197"/>
      <c r="CK37" s="2"/>
      <c r="CL37" s="2"/>
      <c r="CM37" s="2"/>
      <c r="CN37" s="3"/>
      <c r="CO37" s="197"/>
      <c r="CP37" s="197"/>
      <c r="CQ37" s="2"/>
      <c r="CR37" s="2"/>
      <c r="CS37" s="2"/>
      <c r="CT37" s="3"/>
      <c r="CU37" s="280"/>
      <c r="CV37" s="280"/>
      <c r="CW37" s="2"/>
      <c r="CX37" s="2"/>
      <c r="CY37" s="2"/>
      <c r="CZ37" s="2"/>
      <c r="DA37" s="280"/>
      <c r="DB37" s="280"/>
      <c r="DC37" s="2"/>
      <c r="DD37" s="2"/>
      <c r="DE37" s="2"/>
      <c r="DF37" s="2"/>
      <c r="DG37" s="280"/>
      <c r="DH37" s="280"/>
      <c r="DI37" s="2"/>
      <c r="DJ37" s="2"/>
      <c r="DK37" s="2"/>
      <c r="DL37" s="2"/>
      <c r="DM37" s="280"/>
      <c r="DN37" s="280"/>
      <c r="DO37" s="2"/>
      <c r="DP37" s="2"/>
      <c r="DQ37" s="2"/>
      <c r="DR37" s="2"/>
      <c r="DS37" s="280"/>
      <c r="DT37" s="280"/>
      <c r="DU37" s="2"/>
      <c r="DV37" s="2"/>
      <c r="DW37" s="2"/>
      <c r="DX37" s="2"/>
      <c r="DY37" s="280"/>
      <c r="DZ37" s="280"/>
      <c r="EA37" s="2"/>
      <c r="EB37" s="2"/>
      <c r="EC37" s="2"/>
      <c r="ED37" s="2"/>
      <c r="EE37" s="280"/>
      <c r="EF37" s="280"/>
      <c r="EG37" s="2"/>
      <c r="EH37" s="2"/>
      <c r="EI37" s="2"/>
      <c r="EJ37" s="2"/>
      <c r="EK37" s="280"/>
      <c r="EL37" s="280"/>
      <c r="EM37" s="2"/>
      <c r="EN37" s="2"/>
      <c r="EO37" s="2"/>
      <c r="EP37" s="2"/>
      <c r="EQ37" s="280"/>
      <c r="ER37" s="280"/>
      <c r="ES37" s="2"/>
      <c r="ET37" s="2"/>
      <c r="EU37" s="2"/>
      <c r="EV37" s="2"/>
      <c r="EW37" s="280"/>
      <c r="EX37" s="280"/>
      <c r="EY37" s="2"/>
      <c r="EZ37" s="2"/>
      <c r="FA37" s="2"/>
      <c r="FB37" s="2"/>
      <c r="FC37" s="280"/>
      <c r="FD37" s="280"/>
      <c r="FE37" s="2"/>
      <c r="FF37" s="2"/>
      <c r="FG37" s="2"/>
      <c r="FH37" s="2"/>
      <c r="FI37" s="280"/>
      <c r="FJ37" s="280"/>
      <c r="FK37" s="2"/>
      <c r="FL37" s="2"/>
      <c r="FM37" s="2"/>
      <c r="FN37" s="2"/>
      <c r="FO37" s="280"/>
      <c r="FP37" s="280"/>
      <c r="FQ37" s="2"/>
      <c r="FR37" s="2"/>
      <c r="FS37" s="2"/>
      <c r="FT37" s="2"/>
      <c r="FU37" s="280"/>
      <c r="FV37" s="280"/>
      <c r="FW37" s="2"/>
      <c r="FX37" s="2"/>
      <c r="FY37" s="2"/>
      <c r="FZ37" s="2"/>
      <c r="GA37" s="280"/>
      <c r="GB37" s="280"/>
      <c r="GC37" s="2"/>
      <c r="GD37" s="2"/>
      <c r="GE37" s="2"/>
      <c r="GF37" s="2"/>
      <c r="GG37" s="280"/>
      <c r="GH37" s="280"/>
      <c r="GI37" s="2"/>
      <c r="GJ37" s="2"/>
      <c r="GK37" s="2"/>
      <c r="GL37" s="2"/>
      <c r="GM37" s="280"/>
      <c r="GN37" s="280"/>
      <c r="GO37" s="2"/>
      <c r="GP37" s="2"/>
      <c r="GQ37" s="2"/>
      <c r="GR37" s="2"/>
      <c r="GS37" s="280"/>
      <c r="GT37" s="280"/>
      <c r="GU37" s="2"/>
      <c r="GV37" s="2"/>
      <c r="GW37" s="2"/>
      <c r="GX37" s="2"/>
      <c r="GY37" s="280"/>
      <c r="GZ37" s="280"/>
      <c r="HA37" s="2"/>
      <c r="HB37" s="2"/>
      <c r="HC37" s="2"/>
      <c r="HD37" s="2"/>
      <c r="HE37" s="280"/>
      <c r="HF37" s="280"/>
      <c r="HG37" s="2"/>
      <c r="HH37" s="2"/>
      <c r="HI37" s="2"/>
      <c r="HJ37" s="2"/>
    </row>
    <row r="38" spans="1:218" s="507" customFormat="1" ht="12.9" customHeight="1" x14ac:dyDescent="0.2">
      <c r="A38" s="10">
        <f>+'Past Quartets 1st - 3rd Place'!A38</f>
        <v>2008</v>
      </c>
      <c r="B38" s="503">
        <f>+'Past Quartets 1st - 3rd Place'!B38</f>
        <v>33</v>
      </c>
      <c r="C38" s="528" t="s">
        <v>821</v>
      </c>
      <c r="D38" s="245" t="s">
        <v>634</v>
      </c>
      <c r="E38" s="7" t="s">
        <v>822</v>
      </c>
      <c r="F38" s="2" t="s">
        <v>823</v>
      </c>
      <c r="G38" s="2" t="s">
        <v>824</v>
      </c>
      <c r="H38" s="3" t="s">
        <v>825</v>
      </c>
      <c r="I38" s="522" t="s">
        <v>3338</v>
      </c>
      <c r="J38" s="245" t="s">
        <v>3090</v>
      </c>
      <c r="K38" s="2" t="s">
        <v>3091</v>
      </c>
      <c r="L38" s="2" t="s">
        <v>3078</v>
      </c>
      <c r="M38" s="2" t="s">
        <v>3092</v>
      </c>
      <c r="N38" s="2" t="s">
        <v>3093</v>
      </c>
      <c r="O38" s="197" t="s">
        <v>230</v>
      </c>
      <c r="P38" s="197" t="s">
        <v>1973</v>
      </c>
      <c r="Q38" s="2" t="s">
        <v>1785</v>
      </c>
      <c r="R38" s="2" t="s">
        <v>1786</v>
      </c>
      <c r="S38" s="2" t="s">
        <v>2962</v>
      </c>
      <c r="T38" s="3" t="s">
        <v>1788</v>
      </c>
      <c r="U38" s="197" t="s">
        <v>3583</v>
      </c>
      <c r="V38" s="197" t="s">
        <v>3826</v>
      </c>
      <c r="W38" s="7" t="s">
        <v>1259</v>
      </c>
      <c r="X38" s="2" t="s">
        <v>1260</v>
      </c>
      <c r="Y38" s="2" t="s">
        <v>1261</v>
      </c>
      <c r="Z38" s="3" t="s">
        <v>1262</v>
      </c>
      <c r="AA38" s="280" t="s">
        <v>1563</v>
      </c>
      <c r="AB38" s="197" t="s">
        <v>4041</v>
      </c>
      <c r="AC38" s="2" t="s">
        <v>2972</v>
      </c>
      <c r="AD38" s="2" t="s">
        <v>1408</v>
      </c>
      <c r="AE38" s="2" t="s">
        <v>3255</v>
      </c>
      <c r="AF38" s="2" t="s">
        <v>3256</v>
      </c>
      <c r="AG38" s="197" t="s">
        <v>1557</v>
      </c>
      <c r="AH38" s="197" t="s">
        <v>3029</v>
      </c>
      <c r="AI38" s="7" t="s">
        <v>2417</v>
      </c>
      <c r="AJ38" s="2" t="s">
        <v>1270</v>
      </c>
      <c r="AK38" s="2" t="s">
        <v>2462</v>
      </c>
      <c r="AL38" s="3" t="s">
        <v>2457</v>
      </c>
      <c r="AM38" s="197" t="s">
        <v>629</v>
      </c>
      <c r="AN38" s="197" t="s">
        <v>640</v>
      </c>
      <c r="AO38" s="7" t="s">
        <v>3687</v>
      </c>
      <c r="AP38" s="2" t="s">
        <v>2946</v>
      </c>
      <c r="AQ38" s="2" t="s">
        <v>641</v>
      </c>
      <c r="AR38" s="3" t="s">
        <v>642</v>
      </c>
      <c r="AS38" s="280" t="s">
        <v>1564</v>
      </c>
      <c r="AT38" s="197" t="s">
        <v>1885</v>
      </c>
      <c r="AU38" s="2" t="s">
        <v>1833</v>
      </c>
      <c r="AV38" s="2" t="s">
        <v>1834</v>
      </c>
      <c r="AW38" s="2" t="s">
        <v>1887</v>
      </c>
      <c r="AX38" s="3" t="s">
        <v>1835</v>
      </c>
      <c r="AY38" s="197" t="s">
        <v>1285</v>
      </c>
      <c r="AZ38" s="197" t="s">
        <v>3033</v>
      </c>
      <c r="BA38" s="2" t="s">
        <v>3091</v>
      </c>
      <c r="BB38" s="27" t="s">
        <v>1369</v>
      </c>
      <c r="BC38" s="27" t="s">
        <v>1370</v>
      </c>
      <c r="BD38" s="28" t="s">
        <v>3271</v>
      </c>
      <c r="BE38" s="197" t="s">
        <v>618</v>
      </c>
      <c r="BF38" s="197" t="s">
        <v>1838</v>
      </c>
      <c r="BG38" s="7" t="s">
        <v>2952</v>
      </c>
      <c r="BH38" s="2" t="s">
        <v>2953</v>
      </c>
      <c r="BI38" s="2" t="s">
        <v>2954</v>
      </c>
      <c r="BJ38" s="3" t="s">
        <v>2955</v>
      </c>
      <c r="BK38" s="280"/>
      <c r="BL38" s="197"/>
      <c r="BM38" s="2"/>
      <c r="BN38" s="2"/>
      <c r="BO38" s="2"/>
      <c r="BP38" s="2"/>
      <c r="BQ38" s="197"/>
      <c r="BR38" s="197"/>
      <c r="BS38" s="2"/>
      <c r="BT38" s="2"/>
      <c r="BU38" s="2"/>
      <c r="BV38" s="3"/>
      <c r="BW38" s="197"/>
      <c r="BX38" s="197"/>
      <c r="BY38" s="2"/>
      <c r="BZ38" s="2"/>
      <c r="CA38" s="2"/>
      <c r="CB38" s="3"/>
      <c r="CC38" s="197"/>
      <c r="CD38" s="197"/>
      <c r="CE38" s="7"/>
      <c r="CF38" s="2"/>
      <c r="CG38" s="2"/>
      <c r="CH38" s="3"/>
      <c r="CI38" s="280"/>
      <c r="CJ38" s="197"/>
      <c r="CK38" s="2"/>
      <c r="CL38" s="2"/>
      <c r="CM38" s="2"/>
      <c r="CN38" s="3"/>
      <c r="CO38" s="197"/>
      <c r="CP38" s="197"/>
      <c r="CQ38" s="2"/>
      <c r="CR38" s="2"/>
      <c r="CS38" s="2"/>
      <c r="CT38" s="3"/>
      <c r="CU38" s="280"/>
      <c r="CV38" s="280"/>
      <c r="CW38" s="2"/>
      <c r="CX38" s="2"/>
      <c r="CY38" s="2"/>
      <c r="CZ38" s="2"/>
      <c r="DA38" s="280"/>
      <c r="DB38" s="280"/>
      <c r="DC38" s="2"/>
      <c r="DD38" s="2"/>
      <c r="DE38" s="2"/>
      <c r="DF38" s="2"/>
      <c r="DG38" s="280"/>
      <c r="DH38" s="280"/>
      <c r="DI38" s="2"/>
      <c r="DJ38" s="2"/>
      <c r="DK38" s="2"/>
      <c r="DL38" s="2"/>
      <c r="DM38" s="280"/>
      <c r="DN38" s="280"/>
      <c r="DO38" s="2"/>
      <c r="DP38" s="2"/>
      <c r="DQ38" s="2"/>
      <c r="DR38" s="2"/>
      <c r="DS38" s="280"/>
      <c r="DT38" s="280"/>
      <c r="DU38" s="2"/>
      <c r="DV38" s="2"/>
      <c r="DW38" s="2"/>
      <c r="DX38" s="2"/>
      <c r="DY38" s="280"/>
      <c r="DZ38" s="280"/>
      <c r="EA38" s="2"/>
      <c r="EB38" s="2"/>
      <c r="EC38" s="2"/>
      <c r="ED38" s="2"/>
      <c r="EE38" s="280"/>
      <c r="EF38" s="280"/>
      <c r="EG38" s="2"/>
      <c r="EH38" s="2"/>
      <c r="EI38" s="2"/>
      <c r="EJ38" s="2"/>
      <c r="EK38" s="280"/>
      <c r="EL38" s="280"/>
      <c r="EM38" s="2"/>
      <c r="EN38" s="2"/>
      <c r="EO38" s="2"/>
      <c r="EP38" s="2"/>
      <c r="EQ38" s="280"/>
      <c r="ER38" s="280"/>
      <c r="ES38" s="2"/>
      <c r="ET38" s="2"/>
      <c r="EU38" s="2"/>
      <c r="EV38" s="2"/>
      <c r="EW38" s="280"/>
      <c r="EX38" s="280"/>
      <c r="EY38" s="2"/>
      <c r="EZ38" s="2"/>
      <c r="FA38" s="2"/>
      <c r="FB38" s="2"/>
      <c r="FC38" s="280"/>
      <c r="FD38" s="280"/>
      <c r="FE38" s="2"/>
      <c r="FF38" s="2"/>
      <c r="FG38" s="2"/>
      <c r="FH38" s="2"/>
      <c r="FI38" s="280"/>
      <c r="FJ38" s="280"/>
      <c r="FK38" s="2"/>
      <c r="FL38" s="2"/>
      <c r="FM38" s="2"/>
      <c r="FN38" s="2"/>
      <c r="FO38" s="280"/>
      <c r="FP38" s="280"/>
      <c r="FQ38" s="2"/>
      <c r="FR38" s="2"/>
      <c r="FS38" s="2"/>
      <c r="FT38" s="2"/>
      <c r="FU38" s="280"/>
      <c r="FV38" s="280"/>
      <c r="FW38" s="2"/>
      <c r="FX38" s="2"/>
      <c r="FY38" s="2"/>
      <c r="FZ38" s="2"/>
      <c r="GA38" s="280"/>
      <c r="GB38" s="280"/>
      <c r="GC38" s="2"/>
      <c r="GD38" s="2"/>
      <c r="GE38" s="2"/>
      <c r="GF38" s="2"/>
      <c r="GG38" s="280"/>
      <c r="GH38" s="280"/>
      <c r="GI38" s="2"/>
      <c r="GJ38" s="2"/>
      <c r="GK38" s="2"/>
      <c r="GL38" s="2"/>
      <c r="GM38" s="280"/>
      <c r="GN38" s="280"/>
      <c r="GO38" s="2"/>
      <c r="GP38" s="2"/>
      <c r="GQ38" s="2"/>
      <c r="GR38" s="2"/>
      <c r="GS38" s="280"/>
      <c r="GT38" s="280"/>
      <c r="GU38" s="2"/>
      <c r="GV38" s="2"/>
      <c r="GW38" s="2"/>
      <c r="GX38" s="2"/>
      <c r="GY38" s="280"/>
      <c r="GZ38" s="280"/>
      <c r="HA38" s="2"/>
      <c r="HB38" s="2"/>
      <c r="HC38" s="2"/>
      <c r="HD38" s="2"/>
      <c r="HE38" s="280"/>
      <c r="HF38" s="280"/>
      <c r="HG38" s="2"/>
      <c r="HH38" s="2"/>
      <c r="HI38" s="2"/>
      <c r="HJ38" s="2"/>
    </row>
    <row r="39" spans="1:218" s="507" customFormat="1" ht="12.9" customHeight="1" x14ac:dyDescent="0.2">
      <c r="A39" s="10">
        <f>+'Past Quartets 1st - 3rd Place'!A39</f>
        <v>2009</v>
      </c>
      <c r="B39" s="503">
        <f>+'Past Quartets 1st - 3rd Place'!B39</f>
        <v>39</v>
      </c>
      <c r="C39" s="522" t="s">
        <v>3879</v>
      </c>
      <c r="D39" s="245" t="s">
        <v>3580</v>
      </c>
      <c r="E39" s="2" t="s">
        <v>3880</v>
      </c>
      <c r="F39" s="2" t="s">
        <v>2265</v>
      </c>
      <c r="G39" s="2" t="s">
        <v>3881</v>
      </c>
      <c r="H39" s="3" t="s">
        <v>3882</v>
      </c>
      <c r="I39" s="522" t="s">
        <v>230</v>
      </c>
      <c r="J39" s="245" t="s">
        <v>1973</v>
      </c>
      <c r="K39" s="2" t="s">
        <v>1785</v>
      </c>
      <c r="L39" s="2" t="s">
        <v>1786</v>
      </c>
      <c r="M39" s="2" t="s">
        <v>1787</v>
      </c>
      <c r="N39" s="2" t="s">
        <v>1788</v>
      </c>
      <c r="O39" s="197" t="s">
        <v>1568</v>
      </c>
      <c r="P39" s="261" t="s">
        <v>2668</v>
      </c>
      <c r="Q39" s="27" t="s">
        <v>2965</v>
      </c>
      <c r="R39" s="27" t="s">
        <v>2966</v>
      </c>
      <c r="S39" s="27" t="s">
        <v>3367</v>
      </c>
      <c r="T39" s="28" t="s">
        <v>3368</v>
      </c>
      <c r="U39" s="197" t="s">
        <v>1576</v>
      </c>
      <c r="V39" s="197" t="s">
        <v>317</v>
      </c>
      <c r="W39" s="2" t="s">
        <v>2963</v>
      </c>
      <c r="X39" s="2" t="s">
        <v>2964</v>
      </c>
      <c r="Y39" s="2" t="s">
        <v>1308</v>
      </c>
      <c r="Z39" s="3" t="s">
        <v>4054</v>
      </c>
      <c r="AA39" s="197" t="s">
        <v>3338</v>
      </c>
      <c r="AB39" s="197" t="s">
        <v>550</v>
      </c>
      <c r="AC39" s="2" t="s">
        <v>3091</v>
      </c>
      <c r="AD39" s="2" t="s">
        <v>3252</v>
      </c>
      <c r="AE39" s="2" t="s">
        <v>3092</v>
      </c>
      <c r="AF39" s="2" t="s">
        <v>3093</v>
      </c>
      <c r="AG39" s="197" t="s">
        <v>1564</v>
      </c>
      <c r="AH39" s="197" t="s">
        <v>1885</v>
      </c>
      <c r="AI39" s="2" t="s">
        <v>1833</v>
      </c>
      <c r="AJ39" s="2" t="s">
        <v>1834</v>
      </c>
      <c r="AK39" s="2" t="s">
        <v>1887</v>
      </c>
      <c r="AL39" s="3" t="s">
        <v>1835</v>
      </c>
      <c r="AM39" s="197" t="s">
        <v>3505</v>
      </c>
      <c r="AN39" s="197" t="s">
        <v>636</v>
      </c>
      <c r="AO39" s="2" t="s">
        <v>2328</v>
      </c>
      <c r="AP39" s="2" t="s">
        <v>2329</v>
      </c>
      <c r="AQ39" s="2" t="s">
        <v>2330</v>
      </c>
      <c r="AR39" s="3" t="s">
        <v>2331</v>
      </c>
      <c r="AS39" s="197" t="s">
        <v>1583</v>
      </c>
      <c r="AT39" s="197" t="s">
        <v>638</v>
      </c>
      <c r="AU39" s="7" t="s">
        <v>3953</v>
      </c>
      <c r="AV39" s="2" t="s">
        <v>2410</v>
      </c>
      <c r="AW39" s="2" t="s">
        <v>3368</v>
      </c>
      <c r="AX39" s="3" t="s">
        <v>639</v>
      </c>
      <c r="AY39" s="504" t="s">
        <v>1577</v>
      </c>
      <c r="AZ39" s="261" t="s">
        <v>2969</v>
      </c>
      <c r="BA39" s="27" t="s">
        <v>3613</v>
      </c>
      <c r="BB39" s="27" t="s">
        <v>2265</v>
      </c>
      <c r="BC39" s="27" t="s">
        <v>3881</v>
      </c>
      <c r="BD39" s="28" t="s">
        <v>2970</v>
      </c>
      <c r="BE39" s="197" t="s">
        <v>349</v>
      </c>
      <c r="BF39" s="245" t="s">
        <v>517</v>
      </c>
      <c r="BG39" s="2" t="s">
        <v>350</v>
      </c>
      <c r="BH39" s="2" t="s">
        <v>351</v>
      </c>
      <c r="BI39" s="2" t="s">
        <v>352</v>
      </c>
      <c r="BJ39" s="2" t="s">
        <v>483</v>
      </c>
      <c r="BK39" s="197"/>
      <c r="BL39" s="197"/>
      <c r="BM39" s="7"/>
      <c r="BN39" s="2"/>
      <c r="BO39" s="2"/>
      <c r="BP39" s="3"/>
      <c r="BQ39" s="504"/>
      <c r="BR39" s="205"/>
      <c r="BS39" s="29"/>
      <c r="BT39" s="27"/>
      <c r="BU39" s="29"/>
      <c r="BV39" s="189"/>
      <c r="BW39" s="197"/>
      <c r="BX39" s="205"/>
      <c r="BY39" s="29"/>
      <c r="BZ39" s="27"/>
      <c r="CA39" s="29"/>
      <c r="CB39" s="189"/>
      <c r="CC39" s="197"/>
      <c r="CD39" s="197"/>
      <c r="CE39" s="2"/>
      <c r="CF39" s="2"/>
      <c r="CG39" s="2"/>
      <c r="CH39" s="3"/>
      <c r="CI39" s="197"/>
      <c r="CJ39" s="197"/>
      <c r="CK39" s="7"/>
      <c r="CL39" s="2"/>
      <c r="CM39" s="2"/>
      <c r="CN39" s="3"/>
      <c r="CO39" s="197"/>
      <c r="CP39" s="205"/>
      <c r="CQ39" s="29"/>
      <c r="CR39" s="27"/>
      <c r="CS39" s="29"/>
      <c r="CT39" s="189"/>
      <c r="CU39" s="280"/>
      <c r="CV39" s="571"/>
      <c r="CW39" s="29"/>
      <c r="CX39" s="27"/>
      <c r="CY39" s="29"/>
      <c r="CZ39" s="29"/>
      <c r="DA39" s="280"/>
      <c r="DB39" s="571"/>
      <c r="DC39" s="29"/>
      <c r="DD39" s="27"/>
      <c r="DE39" s="29"/>
      <c r="DF39" s="29"/>
      <c r="DG39" s="280"/>
      <c r="DH39" s="571"/>
      <c r="DI39" s="29"/>
      <c r="DJ39" s="27"/>
      <c r="DK39" s="29"/>
      <c r="DL39" s="29"/>
      <c r="DM39" s="280"/>
      <c r="DN39" s="571"/>
      <c r="DO39" s="29"/>
      <c r="DP39" s="27"/>
      <c r="DQ39" s="29"/>
      <c r="DR39" s="29"/>
      <c r="DS39" s="280"/>
      <c r="DT39" s="571"/>
      <c r="DU39" s="29"/>
      <c r="DV39" s="27"/>
      <c r="DW39" s="29"/>
      <c r="DX39" s="29"/>
      <c r="DY39" s="280"/>
      <c r="DZ39" s="571"/>
      <c r="EA39" s="29"/>
      <c r="EB39" s="27"/>
      <c r="EC39" s="29"/>
      <c r="ED39" s="29"/>
      <c r="EE39" s="280"/>
      <c r="EF39" s="571"/>
      <c r="EG39" s="29"/>
      <c r="EH39" s="27"/>
      <c r="EI39" s="29"/>
      <c r="EJ39" s="29"/>
      <c r="EK39" s="280"/>
      <c r="EL39" s="571"/>
      <c r="EM39" s="29"/>
      <c r="EN39" s="27"/>
      <c r="EO39" s="29"/>
      <c r="EP39" s="29"/>
      <c r="EQ39" s="280"/>
      <c r="ER39" s="571"/>
      <c r="ES39" s="29"/>
      <c r="ET39" s="27"/>
      <c r="EU39" s="29"/>
      <c r="EV39" s="29"/>
      <c r="EW39" s="280"/>
      <c r="EX39" s="571"/>
      <c r="EY39" s="29"/>
      <c r="EZ39" s="27"/>
      <c r="FA39" s="29"/>
      <c r="FB39" s="29"/>
      <c r="FC39" s="280"/>
      <c r="FD39" s="571"/>
      <c r="FE39" s="29"/>
      <c r="FF39" s="27"/>
      <c r="FG39" s="29"/>
      <c r="FH39" s="29"/>
      <c r="FI39" s="280"/>
      <c r="FJ39" s="571"/>
      <c r="FK39" s="29"/>
      <c r="FL39" s="27"/>
      <c r="FM39" s="29"/>
      <c r="FN39" s="29"/>
      <c r="FO39" s="280"/>
      <c r="FP39" s="571"/>
      <c r="FQ39" s="29"/>
      <c r="FR39" s="27"/>
      <c r="FS39" s="29"/>
      <c r="FT39" s="29"/>
      <c r="FU39" s="280"/>
      <c r="FV39" s="571"/>
      <c r="FW39" s="29"/>
      <c r="FX39" s="27"/>
      <c r="FY39" s="29"/>
      <c r="FZ39" s="29"/>
      <c r="GA39" s="280"/>
      <c r="GB39" s="571"/>
      <c r="GC39" s="29"/>
      <c r="GD39" s="27"/>
      <c r="GE39" s="29"/>
      <c r="GF39" s="29"/>
      <c r="GG39" s="280"/>
      <c r="GH39" s="571"/>
      <c r="GI39" s="29"/>
      <c r="GJ39" s="27"/>
      <c r="GK39" s="29"/>
      <c r="GL39" s="29"/>
      <c r="GM39" s="280"/>
      <c r="GN39" s="571"/>
      <c r="GO39" s="29"/>
      <c r="GP39" s="27"/>
      <c r="GQ39" s="29"/>
      <c r="GR39" s="29"/>
      <c r="GS39" s="280"/>
      <c r="GT39" s="571"/>
      <c r="GU39" s="29"/>
      <c r="GV39" s="27"/>
      <c r="GW39" s="29"/>
      <c r="GX39" s="29"/>
      <c r="GY39" s="280"/>
      <c r="GZ39" s="571"/>
      <c r="HA39" s="29"/>
      <c r="HB39" s="27"/>
      <c r="HC39" s="29"/>
      <c r="HD39" s="29"/>
      <c r="HE39" s="280"/>
      <c r="HF39" s="571"/>
      <c r="HG39" s="29"/>
      <c r="HH39" s="27"/>
      <c r="HI39" s="29"/>
      <c r="HJ39" s="29"/>
    </row>
    <row r="40" spans="1:218" s="507" customFormat="1" ht="12.9" customHeight="1" x14ac:dyDescent="0.2">
      <c r="A40" s="10">
        <f>+'Past Quartets 1st - 3rd Place'!A40</f>
        <v>2010</v>
      </c>
      <c r="B40" s="503">
        <f>+'Past Quartets 1st - 3rd Place'!B40</f>
        <v>42</v>
      </c>
      <c r="C40" s="522" t="s">
        <v>1791</v>
      </c>
      <c r="D40" s="245" t="s">
        <v>3580</v>
      </c>
      <c r="E40" s="2" t="s">
        <v>4063</v>
      </c>
      <c r="F40" s="2" t="s">
        <v>2725</v>
      </c>
      <c r="G40" s="2" t="s">
        <v>1659</v>
      </c>
      <c r="H40" s="3" t="s">
        <v>3690</v>
      </c>
      <c r="I40" s="522" t="s">
        <v>3343</v>
      </c>
      <c r="J40" s="245" t="s">
        <v>1328</v>
      </c>
      <c r="K40" s="2" t="s">
        <v>3517</v>
      </c>
      <c r="L40" s="2" t="s">
        <v>1329</v>
      </c>
      <c r="M40" s="2" t="s">
        <v>417</v>
      </c>
      <c r="N40" s="2" t="s">
        <v>418</v>
      </c>
      <c r="O40" s="197" t="s">
        <v>1564</v>
      </c>
      <c r="P40" s="197" t="s">
        <v>1885</v>
      </c>
      <c r="Q40" s="2" t="s">
        <v>1833</v>
      </c>
      <c r="R40" s="2" t="s">
        <v>1834</v>
      </c>
      <c r="S40" s="2" t="s">
        <v>1887</v>
      </c>
      <c r="T40" s="3" t="s">
        <v>1835</v>
      </c>
      <c r="U40" s="245" t="s">
        <v>1585</v>
      </c>
      <c r="V40" s="245" t="s">
        <v>4079</v>
      </c>
      <c r="W40" s="2" t="s">
        <v>1969</v>
      </c>
      <c r="X40" s="2" t="s">
        <v>2968</v>
      </c>
      <c r="Y40" s="2" t="s">
        <v>255</v>
      </c>
      <c r="Z40" s="2" t="s">
        <v>3555</v>
      </c>
      <c r="AA40" s="197" t="s">
        <v>1584</v>
      </c>
      <c r="AB40" s="261" t="s">
        <v>2668</v>
      </c>
      <c r="AC40" s="27" t="s">
        <v>2965</v>
      </c>
      <c r="AD40" s="27" t="s">
        <v>2966</v>
      </c>
      <c r="AE40" s="27" t="s">
        <v>3367</v>
      </c>
      <c r="AF40" s="28" t="s">
        <v>3368</v>
      </c>
      <c r="AG40" s="197" t="s">
        <v>3583</v>
      </c>
      <c r="AH40" s="205" t="s">
        <v>2733</v>
      </c>
      <c r="AI40" s="29" t="s">
        <v>3604</v>
      </c>
      <c r="AJ40" s="27" t="s">
        <v>2332</v>
      </c>
      <c r="AK40" s="29" t="s">
        <v>3606</v>
      </c>
      <c r="AL40" s="189" t="s">
        <v>3607</v>
      </c>
      <c r="AM40" s="245" t="s">
        <v>349</v>
      </c>
      <c r="AN40" s="245" t="s">
        <v>517</v>
      </c>
      <c r="AO40" s="2" t="s">
        <v>350</v>
      </c>
      <c r="AP40" s="2" t="s">
        <v>351</v>
      </c>
      <c r="AQ40" s="2" t="s">
        <v>352</v>
      </c>
      <c r="AR40" s="2" t="s">
        <v>483</v>
      </c>
      <c r="AS40" s="197" t="s">
        <v>1588</v>
      </c>
      <c r="AT40" s="197" t="s">
        <v>3826</v>
      </c>
      <c r="AU40" s="2" t="s">
        <v>2414</v>
      </c>
      <c r="AV40" s="2" t="s">
        <v>637</v>
      </c>
      <c r="AW40" s="2" t="s">
        <v>3969</v>
      </c>
      <c r="AX40" s="2" t="s">
        <v>3970</v>
      </c>
      <c r="AY40" s="197" t="s">
        <v>1587</v>
      </c>
      <c r="AZ40" s="197" t="s">
        <v>517</v>
      </c>
      <c r="BA40" s="2" t="s">
        <v>698</v>
      </c>
      <c r="BB40" s="2" t="s">
        <v>3955</v>
      </c>
      <c r="BC40" s="2" t="s">
        <v>3956</v>
      </c>
      <c r="BD40" s="3" t="s">
        <v>3957</v>
      </c>
      <c r="BE40" s="245" t="s">
        <v>3879</v>
      </c>
      <c r="BF40" s="245" t="s">
        <v>3580</v>
      </c>
      <c r="BG40" s="2" t="s">
        <v>3880</v>
      </c>
      <c r="BH40" s="2" t="s">
        <v>2265</v>
      </c>
      <c r="BI40" s="2" t="s">
        <v>3881</v>
      </c>
      <c r="BJ40" s="2" t="s">
        <v>3882</v>
      </c>
      <c r="BK40" s="197"/>
      <c r="BL40" s="197"/>
      <c r="BM40" s="2"/>
      <c r="BN40" s="2"/>
      <c r="BO40" s="2"/>
      <c r="BP40" s="2"/>
      <c r="BQ40" s="197"/>
      <c r="BR40" s="197"/>
      <c r="BS40" s="2"/>
      <c r="BT40" s="2"/>
      <c r="BU40" s="2"/>
      <c r="BV40" s="3"/>
      <c r="BW40" s="197"/>
      <c r="BX40" s="197"/>
      <c r="BY40" s="2"/>
      <c r="BZ40" s="2"/>
      <c r="CA40" s="2"/>
      <c r="CB40" s="3"/>
      <c r="CC40" s="522"/>
      <c r="CD40" s="245"/>
      <c r="CE40" s="2"/>
      <c r="CF40" s="2"/>
      <c r="CG40" s="2"/>
      <c r="CH40" s="2"/>
      <c r="CI40" s="197"/>
      <c r="CJ40" s="197"/>
      <c r="CK40" s="2"/>
      <c r="CL40" s="2"/>
      <c r="CM40" s="2"/>
      <c r="CN40" s="3"/>
      <c r="CO40" s="197"/>
      <c r="CP40" s="197"/>
      <c r="CQ40" s="2"/>
      <c r="CR40" s="2"/>
      <c r="CS40" s="2"/>
      <c r="CT40" s="3"/>
      <c r="CU40" s="280"/>
      <c r="CV40" s="280"/>
      <c r="CW40" s="2"/>
      <c r="CX40" s="2"/>
      <c r="CY40" s="2"/>
      <c r="CZ40" s="2"/>
      <c r="DA40" s="280"/>
      <c r="DB40" s="280"/>
      <c r="DC40" s="2"/>
      <c r="DD40" s="2"/>
      <c r="DE40" s="2"/>
      <c r="DF40" s="2"/>
      <c r="DG40" s="280"/>
      <c r="DH40" s="280"/>
      <c r="DI40" s="2"/>
      <c r="DJ40" s="2"/>
      <c r="DK40" s="2"/>
      <c r="DL40" s="2"/>
      <c r="DM40" s="280"/>
      <c r="DN40" s="280"/>
      <c r="DO40" s="2"/>
      <c r="DP40" s="2"/>
      <c r="DQ40" s="2"/>
      <c r="DR40" s="2"/>
      <c r="DS40" s="280"/>
      <c r="DT40" s="280"/>
      <c r="DU40" s="2"/>
      <c r="DV40" s="2"/>
      <c r="DW40" s="2"/>
      <c r="DX40" s="2"/>
      <c r="DY40" s="280"/>
      <c r="DZ40" s="280"/>
      <c r="EA40" s="2"/>
      <c r="EB40" s="2"/>
      <c r="EC40" s="2"/>
      <c r="ED40" s="2"/>
      <c r="EE40" s="280"/>
      <c r="EF40" s="280"/>
      <c r="EG40" s="2"/>
      <c r="EH40" s="2"/>
      <c r="EI40" s="2"/>
      <c r="EJ40" s="2"/>
      <c r="EK40" s="280"/>
      <c r="EL40" s="280"/>
      <c r="EM40" s="2"/>
      <c r="EN40" s="2"/>
      <c r="EO40" s="2"/>
      <c r="EP40" s="2"/>
      <c r="EQ40" s="280"/>
      <c r="ER40" s="280"/>
      <c r="ES40" s="2"/>
      <c r="ET40" s="2"/>
      <c r="EU40" s="2"/>
      <c r="EV40" s="2"/>
      <c r="EW40" s="280"/>
      <c r="EX40" s="280"/>
      <c r="EY40" s="2"/>
      <c r="EZ40" s="2"/>
      <c r="FA40" s="2"/>
      <c r="FB40" s="2"/>
      <c r="FC40" s="280"/>
      <c r="FD40" s="280"/>
      <c r="FE40" s="2"/>
      <c r="FF40" s="2"/>
      <c r="FG40" s="2"/>
      <c r="FH40" s="2"/>
      <c r="FI40" s="280"/>
      <c r="FJ40" s="280"/>
      <c r="FK40" s="2"/>
      <c r="FL40" s="2"/>
      <c r="FM40" s="2"/>
      <c r="FN40" s="2"/>
      <c r="FO40" s="280"/>
      <c r="FP40" s="280"/>
      <c r="FQ40" s="2"/>
      <c r="FR40" s="2"/>
      <c r="FS40" s="2"/>
      <c r="FT40" s="2"/>
      <c r="FU40" s="280"/>
      <c r="FV40" s="280"/>
      <c r="FW40" s="2"/>
      <c r="FX40" s="2"/>
      <c r="FY40" s="2"/>
      <c r="FZ40" s="2"/>
      <c r="GA40" s="280"/>
      <c r="GB40" s="280"/>
      <c r="GC40" s="2"/>
      <c r="GD40" s="2"/>
      <c r="GE40" s="2"/>
      <c r="GF40" s="2"/>
      <c r="GG40" s="280"/>
      <c r="GH40" s="280"/>
      <c r="GI40" s="2"/>
      <c r="GJ40" s="2"/>
      <c r="GK40" s="2"/>
      <c r="GL40" s="2"/>
      <c r="GM40" s="280"/>
      <c r="GN40" s="280"/>
      <c r="GO40" s="2"/>
      <c r="GP40" s="2"/>
      <c r="GQ40" s="2"/>
      <c r="GR40" s="2"/>
      <c r="GS40" s="280"/>
      <c r="GT40" s="280"/>
      <c r="GU40" s="2"/>
      <c r="GV40" s="2"/>
      <c r="GW40" s="2"/>
      <c r="GX40" s="2"/>
      <c r="GY40" s="280"/>
      <c r="GZ40" s="280"/>
      <c r="HA40" s="2"/>
      <c r="HB40" s="2"/>
      <c r="HC40" s="2"/>
      <c r="HD40" s="2"/>
      <c r="HE40" s="280"/>
      <c r="HF40" s="280"/>
      <c r="HG40" s="2"/>
      <c r="HH40" s="2"/>
      <c r="HI40" s="2"/>
      <c r="HJ40" s="2"/>
    </row>
    <row r="41" spans="1:218" s="507" customFormat="1" ht="12.9" customHeight="1" x14ac:dyDescent="0.2">
      <c r="A41" s="10">
        <f>+'Past Quartets 1st - 3rd Place'!A41</f>
        <v>2011</v>
      </c>
      <c r="B41" s="503">
        <f>+'Past Quartets 1st - 3rd Place'!B41</f>
        <v>41</v>
      </c>
      <c r="C41" s="504" t="s">
        <v>647</v>
      </c>
      <c r="D41" s="261" t="s">
        <v>2668</v>
      </c>
      <c r="E41" s="27" t="s">
        <v>2965</v>
      </c>
      <c r="F41" s="27" t="s">
        <v>2966</v>
      </c>
      <c r="G41" s="27" t="s">
        <v>3367</v>
      </c>
      <c r="H41" s="28" t="s">
        <v>3368</v>
      </c>
      <c r="I41" s="522" t="s">
        <v>1332</v>
      </c>
      <c r="J41" s="245" t="s">
        <v>348</v>
      </c>
      <c r="K41" s="2" t="s">
        <v>439</v>
      </c>
      <c r="L41" s="2" t="s">
        <v>1626</v>
      </c>
      <c r="M41" s="2" t="s">
        <v>3354</v>
      </c>
      <c r="N41" s="2" t="s">
        <v>434</v>
      </c>
      <c r="O41" s="197" t="s">
        <v>3599</v>
      </c>
      <c r="P41" s="197" t="s">
        <v>2668</v>
      </c>
      <c r="Q41" s="7" t="s">
        <v>3080</v>
      </c>
      <c r="R41" s="2" t="s">
        <v>3081</v>
      </c>
      <c r="S41" s="2" t="s">
        <v>3602</v>
      </c>
      <c r="T41" s="3" t="s">
        <v>252</v>
      </c>
      <c r="U41" s="522" t="s">
        <v>3343</v>
      </c>
      <c r="V41" s="245" t="s">
        <v>1328</v>
      </c>
      <c r="W41" s="2" t="s">
        <v>3517</v>
      </c>
      <c r="X41" s="2" t="s">
        <v>1329</v>
      </c>
      <c r="Y41" s="2" t="s">
        <v>417</v>
      </c>
      <c r="Z41" s="2" t="s">
        <v>418</v>
      </c>
      <c r="AA41" s="197" t="s">
        <v>1564</v>
      </c>
      <c r="AB41" s="197" t="s">
        <v>1885</v>
      </c>
      <c r="AC41" s="2" t="s">
        <v>1833</v>
      </c>
      <c r="AD41" s="2" t="s">
        <v>1834</v>
      </c>
      <c r="AE41" s="2" t="s">
        <v>1887</v>
      </c>
      <c r="AF41" s="28" t="s">
        <v>1835</v>
      </c>
      <c r="AG41" s="197" t="s">
        <v>1602</v>
      </c>
      <c r="AH41" s="197" t="s">
        <v>4634</v>
      </c>
      <c r="AI41" s="7" t="s">
        <v>3284</v>
      </c>
      <c r="AJ41" s="2" t="s">
        <v>3251</v>
      </c>
      <c r="AK41" s="2" t="s">
        <v>2941</v>
      </c>
      <c r="AL41" s="3" t="s">
        <v>3610</v>
      </c>
      <c r="AM41" s="245" t="s">
        <v>4011</v>
      </c>
      <c r="AN41" s="245" t="s">
        <v>517</v>
      </c>
      <c r="AO41" s="2" t="s">
        <v>2764</v>
      </c>
      <c r="AP41" s="2" t="s">
        <v>2765</v>
      </c>
      <c r="AQ41" s="2" t="s">
        <v>2766</v>
      </c>
      <c r="AR41" s="2" t="s">
        <v>2767</v>
      </c>
      <c r="AS41" s="197" t="s">
        <v>3583</v>
      </c>
      <c r="AT41" s="205" t="s">
        <v>2733</v>
      </c>
      <c r="AU41" s="29" t="s">
        <v>3604</v>
      </c>
      <c r="AV41" s="27" t="s">
        <v>2332</v>
      </c>
      <c r="AW41" s="27" t="s">
        <v>220</v>
      </c>
      <c r="AX41" s="189" t="s">
        <v>3607</v>
      </c>
      <c r="AY41" s="197" t="s">
        <v>1592</v>
      </c>
      <c r="AZ41" s="197" t="s">
        <v>3580</v>
      </c>
      <c r="BA41" s="2" t="s">
        <v>3979</v>
      </c>
      <c r="BB41" s="2" t="s">
        <v>2139</v>
      </c>
      <c r="BC41" s="2" t="s">
        <v>3967</v>
      </c>
      <c r="BD41" s="3" t="s">
        <v>1994</v>
      </c>
      <c r="BE41" s="245" t="s">
        <v>1603</v>
      </c>
      <c r="BF41" s="504" t="s">
        <v>3357</v>
      </c>
      <c r="BG41" s="2" t="s">
        <v>3360</v>
      </c>
      <c r="BH41" s="2" t="s">
        <v>1220</v>
      </c>
      <c r="BI41" s="2" t="s">
        <v>1221</v>
      </c>
      <c r="BJ41" s="3" t="s">
        <v>1222</v>
      </c>
      <c r="BK41" s="197"/>
      <c r="BL41" s="197"/>
      <c r="BM41" s="2"/>
      <c r="BN41" s="2"/>
      <c r="BO41" s="2"/>
      <c r="BP41" s="2"/>
      <c r="BQ41" s="197"/>
      <c r="BR41" s="197"/>
      <c r="BS41" s="2"/>
      <c r="BT41" s="2"/>
      <c r="BU41" s="2"/>
      <c r="BV41" s="3"/>
      <c r="BW41" s="197"/>
      <c r="BX41" s="197"/>
      <c r="BY41" s="2"/>
      <c r="BZ41" s="2"/>
      <c r="CA41" s="2"/>
      <c r="CB41" s="3"/>
      <c r="CC41" s="522"/>
      <c r="CD41" s="245"/>
      <c r="CE41" s="2"/>
      <c r="CF41" s="2"/>
      <c r="CG41" s="2"/>
      <c r="CH41" s="2"/>
      <c r="CI41" s="197"/>
      <c r="CJ41" s="197"/>
      <c r="CK41" s="2"/>
      <c r="CL41" s="2"/>
      <c r="CM41" s="2"/>
      <c r="CN41" s="3"/>
      <c r="CO41" s="197"/>
      <c r="CP41" s="197"/>
      <c r="CQ41" s="2"/>
      <c r="CR41" s="2"/>
      <c r="CS41" s="2"/>
      <c r="CT41" s="3"/>
      <c r="CU41" s="280"/>
      <c r="CV41" s="280"/>
      <c r="CW41" s="2"/>
      <c r="CX41" s="2"/>
      <c r="CY41" s="2"/>
      <c r="CZ41" s="2"/>
      <c r="DA41" s="280"/>
      <c r="DB41" s="280"/>
      <c r="DC41" s="2"/>
      <c r="DD41" s="2"/>
      <c r="DE41" s="2"/>
      <c r="DF41" s="2"/>
      <c r="DG41" s="280"/>
      <c r="DH41" s="280"/>
      <c r="DI41" s="2"/>
      <c r="DJ41" s="2"/>
      <c r="DK41" s="2"/>
      <c r="DL41" s="2"/>
      <c r="DM41" s="280"/>
      <c r="DN41" s="280"/>
      <c r="DO41" s="2"/>
      <c r="DP41" s="2"/>
      <c r="DQ41" s="2"/>
      <c r="DR41" s="2"/>
      <c r="DS41" s="280"/>
      <c r="DT41" s="280"/>
      <c r="DU41" s="2"/>
      <c r="DV41" s="2"/>
      <c r="DW41" s="2"/>
      <c r="DX41" s="2"/>
      <c r="DY41" s="280"/>
      <c r="DZ41" s="280"/>
      <c r="EA41" s="2"/>
      <c r="EB41" s="2"/>
      <c r="EC41" s="2"/>
      <c r="ED41" s="2"/>
      <c r="EE41" s="280"/>
      <c r="EF41" s="280"/>
      <c r="EG41" s="2"/>
      <c r="EH41" s="2"/>
      <c r="EI41" s="2"/>
      <c r="EJ41" s="2"/>
      <c r="EK41" s="280"/>
      <c r="EL41" s="280"/>
      <c r="EM41" s="2"/>
      <c r="EN41" s="2"/>
      <c r="EO41" s="2"/>
      <c r="EP41" s="2"/>
      <c r="EQ41" s="280"/>
      <c r="ER41" s="280"/>
      <c r="ES41" s="2"/>
      <c r="ET41" s="2"/>
      <c r="EU41" s="2"/>
      <c r="EV41" s="2"/>
      <c r="EW41" s="280"/>
      <c r="EX41" s="280"/>
      <c r="EY41" s="2"/>
      <c r="EZ41" s="2"/>
      <c r="FA41" s="2"/>
      <c r="FB41" s="2"/>
      <c r="FC41" s="280"/>
      <c r="FD41" s="280"/>
      <c r="FE41" s="2"/>
      <c r="FF41" s="2"/>
      <c r="FG41" s="2"/>
      <c r="FH41" s="2"/>
      <c r="FI41" s="280"/>
      <c r="FJ41" s="280"/>
      <c r="FK41" s="2"/>
      <c r="FL41" s="2"/>
      <c r="FM41" s="2"/>
      <c r="FN41" s="2"/>
      <c r="FO41" s="280"/>
      <c r="FP41" s="280"/>
      <c r="FQ41" s="2"/>
      <c r="FR41" s="2"/>
      <c r="FS41" s="2"/>
      <c r="FT41" s="2"/>
      <c r="FU41" s="280"/>
      <c r="FV41" s="280"/>
      <c r="FW41" s="2"/>
      <c r="FX41" s="2"/>
      <c r="FY41" s="2"/>
      <c r="FZ41" s="2"/>
      <c r="GA41" s="280"/>
      <c r="GB41" s="280"/>
      <c r="GC41" s="2"/>
      <c r="GD41" s="2"/>
      <c r="GE41" s="2"/>
      <c r="GF41" s="2"/>
      <c r="GG41" s="280"/>
      <c r="GH41" s="280"/>
      <c r="GI41" s="2"/>
      <c r="GJ41" s="2"/>
      <c r="GK41" s="2"/>
      <c r="GL41" s="2"/>
      <c r="GM41" s="280"/>
      <c r="GN41" s="280"/>
      <c r="GO41" s="2"/>
      <c r="GP41" s="2"/>
      <c r="GQ41" s="2"/>
      <c r="GR41" s="2"/>
      <c r="GS41" s="280"/>
      <c r="GT41" s="280"/>
      <c r="GU41" s="2"/>
      <c r="GV41" s="2"/>
      <c r="GW41" s="2"/>
      <c r="GX41" s="2"/>
      <c r="GY41" s="280"/>
      <c r="GZ41" s="280"/>
      <c r="HA41" s="2"/>
      <c r="HB41" s="2"/>
      <c r="HC41" s="2"/>
      <c r="HD41" s="2"/>
      <c r="HE41" s="280"/>
      <c r="HF41" s="280"/>
      <c r="HG41" s="2"/>
      <c r="HH41" s="2"/>
      <c r="HI41" s="2"/>
      <c r="HJ41" s="2"/>
    </row>
    <row r="42" spans="1:218" s="507" customFormat="1" ht="12.9" customHeight="1" x14ac:dyDescent="0.2">
      <c r="A42" s="10">
        <f>+'Past Quartets 1st - 3rd Place'!A42</f>
        <v>2012</v>
      </c>
      <c r="B42" s="503">
        <f>+'Past Quartets 1st - 3rd Place'!B42</f>
        <v>44</v>
      </c>
      <c r="C42" s="504" t="s">
        <v>1585</v>
      </c>
      <c r="D42" s="197" t="s">
        <v>4079</v>
      </c>
      <c r="E42" s="2" t="s">
        <v>1969</v>
      </c>
      <c r="F42" s="2" t="s">
        <v>2968</v>
      </c>
      <c r="G42" s="2" t="s">
        <v>3271</v>
      </c>
      <c r="H42" s="3" t="s">
        <v>3555</v>
      </c>
      <c r="I42" s="522" t="s">
        <v>1332</v>
      </c>
      <c r="J42" s="245" t="s">
        <v>348</v>
      </c>
      <c r="K42" s="2" t="s">
        <v>439</v>
      </c>
      <c r="L42" s="2" t="s">
        <v>1626</v>
      </c>
      <c r="M42" s="2" t="s">
        <v>3354</v>
      </c>
      <c r="N42" s="2" t="s">
        <v>434</v>
      </c>
      <c r="O42" s="197" t="s">
        <v>4018</v>
      </c>
      <c r="P42" s="245" t="s">
        <v>649</v>
      </c>
      <c r="Q42" s="2" t="s">
        <v>3351</v>
      </c>
      <c r="R42" s="2" t="s">
        <v>3557</v>
      </c>
      <c r="S42" s="2" t="s">
        <v>3083</v>
      </c>
      <c r="T42" s="3" t="s">
        <v>2332</v>
      </c>
      <c r="U42" s="197" t="s">
        <v>530</v>
      </c>
      <c r="V42" s="197" t="s">
        <v>1310</v>
      </c>
      <c r="W42" s="2" t="s">
        <v>697</v>
      </c>
      <c r="X42" s="2" t="s">
        <v>3350</v>
      </c>
      <c r="Y42" s="2" t="s">
        <v>3367</v>
      </c>
      <c r="Z42" s="3" t="s">
        <v>1425</v>
      </c>
      <c r="AA42" s="197" t="s">
        <v>1592</v>
      </c>
      <c r="AB42" s="197" t="s">
        <v>3580</v>
      </c>
      <c r="AC42" s="2" t="s">
        <v>3979</v>
      </c>
      <c r="AD42" s="2" t="s">
        <v>2139</v>
      </c>
      <c r="AE42" s="2" t="s">
        <v>3967</v>
      </c>
      <c r="AF42" s="3" t="s">
        <v>1994</v>
      </c>
      <c r="AG42" s="197" t="s">
        <v>1584</v>
      </c>
      <c r="AH42" s="261" t="s">
        <v>2668</v>
      </c>
      <c r="AI42" s="27" t="s">
        <v>2965</v>
      </c>
      <c r="AJ42" s="27" t="s">
        <v>2966</v>
      </c>
      <c r="AK42" s="27" t="s">
        <v>3367</v>
      </c>
      <c r="AL42" s="28" t="s">
        <v>3368</v>
      </c>
      <c r="AM42" s="197" t="s">
        <v>1602</v>
      </c>
      <c r="AN42" s="197" t="s">
        <v>3250</v>
      </c>
      <c r="AO42" s="7" t="s">
        <v>2329</v>
      </c>
      <c r="AP42" s="2" t="s">
        <v>3251</v>
      </c>
      <c r="AQ42" s="2" t="s">
        <v>2941</v>
      </c>
      <c r="AR42" s="3" t="s">
        <v>3610</v>
      </c>
      <c r="AS42" s="197" t="s">
        <v>349</v>
      </c>
      <c r="AT42" s="261" t="s">
        <v>2769</v>
      </c>
      <c r="AU42" s="27" t="s">
        <v>350</v>
      </c>
      <c r="AV42" s="27" t="s">
        <v>351</v>
      </c>
      <c r="AW42" s="27" t="s">
        <v>352</v>
      </c>
      <c r="AX42" s="28" t="s">
        <v>483</v>
      </c>
      <c r="AY42" s="197" t="s">
        <v>3998</v>
      </c>
      <c r="AZ42" s="245" t="s">
        <v>2993</v>
      </c>
      <c r="BA42" s="7" t="s">
        <v>2793</v>
      </c>
      <c r="BB42" s="2" t="s">
        <v>4080</v>
      </c>
      <c r="BC42" s="2" t="s">
        <v>2466</v>
      </c>
      <c r="BD42" s="3" t="s">
        <v>4045</v>
      </c>
      <c r="BE42" s="197" t="s">
        <v>1564</v>
      </c>
      <c r="BF42" s="197" t="s">
        <v>1832</v>
      </c>
      <c r="BG42" s="2" t="s">
        <v>1833</v>
      </c>
      <c r="BH42" s="2" t="s">
        <v>1834</v>
      </c>
      <c r="BI42" s="2" t="s">
        <v>1887</v>
      </c>
      <c r="BJ42" s="3" t="s">
        <v>1835</v>
      </c>
      <c r="BK42" s="197"/>
      <c r="BL42" s="197"/>
      <c r="BM42" s="2"/>
      <c r="BN42" s="2"/>
      <c r="BO42" s="2"/>
      <c r="BP42" s="2"/>
      <c r="BQ42" s="197"/>
      <c r="BR42" s="197"/>
      <c r="BS42" s="2"/>
      <c r="BT42" s="2"/>
      <c r="BU42" s="2"/>
      <c r="BV42" s="3"/>
      <c r="BW42" s="197"/>
      <c r="BX42" s="197"/>
      <c r="BY42" s="2"/>
      <c r="BZ42" s="2"/>
      <c r="CA42" s="2"/>
      <c r="CB42" s="3"/>
      <c r="CC42" s="522"/>
      <c r="CD42" s="245"/>
      <c r="CE42" s="2"/>
      <c r="CF42" s="2"/>
      <c r="CG42" s="2"/>
      <c r="CH42" s="2"/>
      <c r="CI42" s="197"/>
      <c r="CJ42" s="197"/>
      <c r="CK42" s="2"/>
      <c r="CL42" s="2"/>
      <c r="CM42" s="2"/>
      <c r="CN42" s="3"/>
      <c r="CO42" s="197"/>
      <c r="CP42" s="197"/>
      <c r="CQ42" s="2"/>
      <c r="CR42" s="2"/>
      <c r="CS42" s="2"/>
      <c r="CT42" s="3"/>
      <c r="CU42" s="280"/>
      <c r="CV42" s="280"/>
      <c r="CW42" s="2"/>
      <c r="CX42" s="2"/>
      <c r="CY42" s="2"/>
      <c r="CZ42" s="2"/>
      <c r="DA42" s="280"/>
      <c r="DB42" s="280"/>
      <c r="DC42" s="2"/>
      <c r="DD42" s="2"/>
      <c r="DE42" s="2"/>
      <c r="DF42" s="2"/>
      <c r="DG42" s="280"/>
      <c r="DH42" s="280"/>
      <c r="DI42" s="2"/>
      <c r="DJ42" s="2"/>
      <c r="DK42" s="2"/>
      <c r="DL42" s="2"/>
      <c r="DM42" s="280"/>
      <c r="DN42" s="280"/>
      <c r="DO42" s="2"/>
      <c r="DP42" s="2"/>
      <c r="DQ42" s="2"/>
      <c r="DR42" s="2"/>
      <c r="DS42" s="280"/>
      <c r="DT42" s="280"/>
      <c r="DU42" s="2"/>
      <c r="DV42" s="2"/>
      <c r="DW42" s="2"/>
      <c r="DX42" s="2"/>
      <c r="DY42" s="280"/>
      <c r="DZ42" s="280"/>
      <c r="EA42" s="2"/>
      <c r="EB42" s="2"/>
      <c r="EC42" s="2"/>
      <c r="ED42" s="2"/>
      <c r="EE42" s="280"/>
      <c r="EF42" s="280"/>
      <c r="EG42" s="2"/>
      <c r="EH42" s="2"/>
      <c r="EI42" s="2"/>
      <c r="EJ42" s="2"/>
      <c r="EK42" s="280"/>
      <c r="EL42" s="280"/>
      <c r="EM42" s="2"/>
      <c r="EN42" s="2"/>
      <c r="EO42" s="2"/>
      <c r="EP42" s="2"/>
      <c r="EQ42" s="280"/>
      <c r="ER42" s="280"/>
      <c r="ES42" s="2"/>
      <c r="ET42" s="2"/>
      <c r="EU42" s="2"/>
      <c r="EV42" s="2"/>
      <c r="EW42" s="280"/>
      <c r="EX42" s="280"/>
      <c r="EY42" s="2"/>
      <c r="EZ42" s="2"/>
      <c r="FA42" s="2"/>
      <c r="FB42" s="2"/>
      <c r="FC42" s="280"/>
      <c r="FD42" s="280"/>
      <c r="FE42" s="2"/>
      <c r="FF42" s="2"/>
      <c r="FG42" s="2"/>
      <c r="FH42" s="2"/>
      <c r="FI42" s="280"/>
      <c r="FJ42" s="280"/>
      <c r="FK42" s="2"/>
      <c r="FL42" s="2"/>
      <c r="FM42" s="2"/>
      <c r="FN42" s="2"/>
      <c r="FO42" s="280"/>
      <c r="FP42" s="280"/>
      <c r="FQ42" s="2"/>
      <c r="FR42" s="2"/>
      <c r="FS42" s="2"/>
      <c r="FT42" s="2"/>
      <c r="FU42" s="280"/>
      <c r="FV42" s="280"/>
      <c r="FW42" s="2"/>
      <c r="FX42" s="2"/>
      <c r="FY42" s="2"/>
      <c r="FZ42" s="2"/>
      <c r="GA42" s="280"/>
      <c r="GB42" s="280"/>
      <c r="GC42" s="2"/>
      <c r="GD42" s="2"/>
      <c r="GE42" s="2"/>
      <c r="GF42" s="2"/>
      <c r="GG42" s="280"/>
      <c r="GH42" s="280"/>
      <c r="GI42" s="2"/>
      <c r="GJ42" s="2"/>
      <c r="GK42" s="2"/>
      <c r="GL42" s="2"/>
      <c r="GM42" s="280"/>
      <c r="GN42" s="280"/>
      <c r="GO42" s="2"/>
      <c r="GP42" s="2"/>
      <c r="GQ42" s="2"/>
      <c r="GR42" s="2"/>
      <c r="GS42" s="280"/>
      <c r="GT42" s="280"/>
      <c r="GU42" s="2"/>
      <c r="GV42" s="2"/>
      <c r="GW42" s="2"/>
      <c r="GX42" s="2"/>
      <c r="GY42" s="280"/>
      <c r="GZ42" s="280"/>
      <c r="HA42" s="2"/>
      <c r="HB42" s="2"/>
      <c r="HC42" s="2"/>
      <c r="HD42" s="2"/>
      <c r="HE42" s="280"/>
      <c r="HF42" s="280"/>
      <c r="HG42" s="2"/>
      <c r="HH42" s="2"/>
      <c r="HI42" s="2"/>
      <c r="HJ42" s="2"/>
    </row>
    <row r="43" spans="1:218" s="507" customFormat="1" ht="12.9" customHeight="1" x14ac:dyDescent="0.2">
      <c r="A43" s="10">
        <f>+'Past Quartets 1st - 3rd Place'!A43</f>
        <v>2013</v>
      </c>
      <c r="B43" s="503">
        <f>+'Past Quartets 1st - 3rd Place'!B43</f>
        <v>38</v>
      </c>
      <c r="C43" s="504" t="s">
        <v>2343</v>
      </c>
      <c r="D43" s="197" t="s">
        <v>2216</v>
      </c>
      <c r="E43" s="7" t="s">
        <v>1427</v>
      </c>
      <c r="F43" s="2" t="s">
        <v>173</v>
      </c>
      <c r="G43" s="2" t="s">
        <v>255</v>
      </c>
      <c r="H43" s="3" t="s">
        <v>252</v>
      </c>
      <c r="I43" s="197" t="s">
        <v>2697</v>
      </c>
      <c r="J43" s="245" t="s">
        <v>4079</v>
      </c>
      <c r="K43" s="2" t="s">
        <v>735</v>
      </c>
      <c r="L43" s="2" t="s">
        <v>4081</v>
      </c>
      <c r="M43" s="2" t="s">
        <v>3088</v>
      </c>
      <c r="N43" s="2" t="s">
        <v>3514</v>
      </c>
      <c r="O43" s="197" t="s">
        <v>1585</v>
      </c>
      <c r="P43" s="197" t="s">
        <v>4079</v>
      </c>
      <c r="Q43" s="7" t="s">
        <v>1969</v>
      </c>
      <c r="R43" s="2" t="s">
        <v>2968</v>
      </c>
      <c r="S43" s="2" t="s">
        <v>3271</v>
      </c>
      <c r="T43" s="3" t="s">
        <v>3555</v>
      </c>
      <c r="U43" s="197" t="s">
        <v>532</v>
      </c>
      <c r="V43" s="197" t="s">
        <v>4041</v>
      </c>
      <c r="W43" s="2" t="s">
        <v>1288</v>
      </c>
      <c r="X43" s="2" t="s">
        <v>1291</v>
      </c>
      <c r="Y43" s="2" t="s">
        <v>3045</v>
      </c>
      <c r="Z43" s="3" t="s">
        <v>50</v>
      </c>
      <c r="AA43" s="197" t="s">
        <v>3999</v>
      </c>
      <c r="AB43" s="197" t="s">
        <v>2733</v>
      </c>
      <c r="AC43" s="7" t="s">
        <v>3527</v>
      </c>
      <c r="AD43" s="2" t="s">
        <v>650</v>
      </c>
      <c r="AE43" s="2" t="s">
        <v>1261</v>
      </c>
      <c r="AF43" s="3" t="s">
        <v>3607</v>
      </c>
      <c r="AG43" s="197" t="s">
        <v>1592</v>
      </c>
      <c r="AH43" s="197" t="s">
        <v>2995</v>
      </c>
      <c r="AI43" s="2" t="s">
        <v>3979</v>
      </c>
      <c r="AJ43" s="2" t="s">
        <v>2139</v>
      </c>
      <c r="AK43" s="2" t="s">
        <v>3967</v>
      </c>
      <c r="AL43" s="3" t="s">
        <v>1994</v>
      </c>
      <c r="AM43" s="197" t="s">
        <v>2092</v>
      </c>
      <c r="AN43" s="245" t="s">
        <v>2993</v>
      </c>
      <c r="AO43" s="2" t="s">
        <v>2793</v>
      </c>
      <c r="AP43" s="2" t="s">
        <v>4080</v>
      </c>
      <c r="AQ43" s="2" t="s">
        <v>2466</v>
      </c>
      <c r="AR43" s="2" t="s">
        <v>4045</v>
      </c>
      <c r="AS43" s="197" t="s">
        <v>1584</v>
      </c>
      <c r="AT43" s="261" t="s">
        <v>487</v>
      </c>
      <c r="AU43" s="27" t="s">
        <v>2965</v>
      </c>
      <c r="AV43" s="27" t="s">
        <v>2966</v>
      </c>
      <c r="AW43" s="27" t="s">
        <v>3367</v>
      </c>
      <c r="AX43" s="28" t="s">
        <v>3368</v>
      </c>
      <c r="AY43" s="197" t="s">
        <v>2698</v>
      </c>
      <c r="AZ43" s="197" t="s">
        <v>730</v>
      </c>
      <c r="BA43" s="7" t="s">
        <v>3079</v>
      </c>
      <c r="BB43" s="2" t="s">
        <v>416</v>
      </c>
      <c r="BC43" s="2" t="s">
        <v>417</v>
      </c>
      <c r="BD43" s="3" t="s">
        <v>418</v>
      </c>
      <c r="BE43" s="197" t="s">
        <v>1606</v>
      </c>
      <c r="BF43" s="261" t="s">
        <v>4079</v>
      </c>
      <c r="BG43" s="27" t="s">
        <v>3870</v>
      </c>
      <c r="BH43" s="27" t="s">
        <v>1226</v>
      </c>
      <c r="BI43" s="27" t="s">
        <v>1227</v>
      </c>
      <c r="BJ43" s="28" t="s">
        <v>51</v>
      </c>
      <c r="BK43" s="197"/>
      <c r="BL43" s="197"/>
      <c r="BM43" s="2"/>
      <c r="BN43" s="2"/>
      <c r="BO43" s="2"/>
      <c r="BP43" s="3"/>
      <c r="BQ43" s="197"/>
      <c r="BR43" s="197"/>
      <c r="BS43" s="2"/>
      <c r="BT43" s="2"/>
      <c r="BU43" s="2"/>
      <c r="BV43" s="3"/>
      <c r="BW43" s="197"/>
      <c r="BX43" s="197"/>
      <c r="BY43" s="2"/>
      <c r="BZ43" s="2"/>
      <c r="CA43" s="2"/>
      <c r="CB43" s="3"/>
      <c r="CC43" s="522"/>
      <c r="CD43" s="245"/>
      <c r="CE43" s="2"/>
      <c r="CF43" s="2"/>
      <c r="CG43" s="2"/>
      <c r="CH43" s="2"/>
      <c r="CI43" s="197"/>
      <c r="CJ43" s="197"/>
      <c r="CK43" s="2"/>
      <c r="CL43" s="2"/>
      <c r="CM43" s="2"/>
      <c r="CN43" s="3"/>
      <c r="CO43" s="197"/>
      <c r="CP43" s="197"/>
      <c r="CQ43" s="2"/>
      <c r="CR43" s="2"/>
      <c r="CS43" s="2"/>
      <c r="CT43" s="3"/>
      <c r="CU43" s="280"/>
      <c r="CV43" s="280"/>
      <c r="CW43" s="2"/>
      <c r="CX43" s="2"/>
      <c r="CY43" s="2"/>
      <c r="CZ43" s="2"/>
      <c r="DA43" s="280"/>
      <c r="DB43" s="280"/>
      <c r="DC43" s="2"/>
      <c r="DD43" s="2"/>
      <c r="DE43" s="2"/>
      <c r="DF43" s="2"/>
      <c r="DG43" s="280"/>
      <c r="DH43" s="280"/>
      <c r="DI43" s="2"/>
      <c r="DJ43" s="2"/>
      <c r="DK43" s="2"/>
      <c r="DL43" s="2"/>
      <c r="DM43" s="280"/>
      <c r="DN43" s="280"/>
      <c r="DO43" s="2"/>
      <c r="DP43" s="2"/>
      <c r="DQ43" s="2"/>
      <c r="DR43" s="2"/>
      <c r="DS43" s="280"/>
      <c r="DT43" s="280"/>
      <c r="DU43" s="2"/>
      <c r="DV43" s="2"/>
      <c r="DW43" s="2"/>
      <c r="DX43" s="2"/>
      <c r="DY43" s="280"/>
      <c r="DZ43" s="280"/>
      <c r="EA43" s="2"/>
      <c r="EB43" s="2"/>
      <c r="EC43" s="2"/>
      <c r="ED43" s="2"/>
      <c r="EE43" s="280"/>
      <c r="EF43" s="280"/>
      <c r="EG43" s="2"/>
      <c r="EH43" s="2"/>
      <c r="EI43" s="2"/>
      <c r="EJ43" s="2"/>
      <c r="EK43" s="280"/>
      <c r="EL43" s="280"/>
      <c r="EM43" s="2"/>
      <c r="EN43" s="2"/>
      <c r="EO43" s="2"/>
      <c r="EP43" s="2"/>
      <c r="EQ43" s="280"/>
      <c r="ER43" s="280"/>
      <c r="ES43" s="2"/>
      <c r="ET43" s="2"/>
      <c r="EU43" s="2"/>
      <c r="EV43" s="2"/>
      <c r="EW43" s="280"/>
      <c r="EX43" s="280"/>
      <c r="EY43" s="2"/>
      <c r="EZ43" s="2"/>
      <c r="FA43" s="2"/>
      <c r="FB43" s="2"/>
      <c r="FC43" s="280"/>
      <c r="FD43" s="280"/>
      <c r="FE43" s="2"/>
      <c r="FF43" s="2"/>
      <c r="FG43" s="2"/>
      <c r="FH43" s="2"/>
      <c r="FI43" s="280"/>
      <c r="FJ43" s="280"/>
      <c r="FK43" s="2"/>
      <c r="FL43" s="2"/>
      <c r="FM43" s="2"/>
      <c r="FN43" s="2"/>
      <c r="FO43" s="280"/>
      <c r="FP43" s="280"/>
      <c r="FQ43" s="2"/>
      <c r="FR43" s="2"/>
      <c r="FS43" s="2"/>
      <c r="FT43" s="2"/>
      <c r="FU43" s="280"/>
      <c r="FV43" s="280"/>
      <c r="FW43" s="2"/>
      <c r="FX43" s="2"/>
      <c r="FY43" s="2"/>
      <c r="FZ43" s="2"/>
      <c r="GA43" s="280"/>
      <c r="GB43" s="280"/>
      <c r="GC43" s="2"/>
      <c r="GD43" s="2"/>
      <c r="GE43" s="2"/>
      <c r="GF43" s="2"/>
      <c r="GG43" s="280"/>
      <c r="GH43" s="280"/>
      <c r="GI43" s="2"/>
      <c r="GJ43" s="2"/>
      <c r="GK43" s="2"/>
      <c r="GL43" s="2"/>
      <c r="GM43" s="280"/>
      <c r="GN43" s="280"/>
      <c r="GO43" s="2"/>
      <c r="GP43" s="2"/>
      <c r="GQ43" s="2"/>
      <c r="GR43" s="2"/>
      <c r="GS43" s="280"/>
      <c r="GT43" s="280"/>
      <c r="GU43" s="2"/>
      <c r="GV43" s="2"/>
      <c r="GW43" s="2"/>
      <c r="GX43" s="2"/>
      <c r="GY43" s="280"/>
      <c r="GZ43" s="280"/>
      <c r="HA43" s="2"/>
      <c r="HB43" s="2"/>
      <c r="HC43" s="2"/>
      <c r="HD43" s="2"/>
      <c r="HE43" s="280"/>
      <c r="HF43" s="280"/>
      <c r="HG43" s="2"/>
      <c r="HH43" s="2"/>
      <c r="HI43" s="2"/>
      <c r="HJ43" s="2"/>
    </row>
    <row r="44" spans="1:218" s="507" customFormat="1" ht="12.9" customHeight="1" x14ac:dyDescent="0.2">
      <c r="A44" s="10">
        <f>+'Past Quartets 1st - 3rd Place'!A44</f>
        <v>2014</v>
      </c>
      <c r="B44" s="503">
        <f>+'Past Quartets 1st - 3rd Place'!B44</f>
        <v>42</v>
      </c>
      <c r="C44" s="504" t="s">
        <v>2865</v>
      </c>
      <c r="D44" s="261" t="s">
        <v>4041</v>
      </c>
      <c r="E44" s="27" t="s">
        <v>2893</v>
      </c>
      <c r="F44" s="27" t="s">
        <v>2894</v>
      </c>
      <c r="G44" s="27" t="s">
        <v>2895</v>
      </c>
      <c r="H44" s="28" t="s">
        <v>2896</v>
      </c>
      <c r="I44" s="197" t="s">
        <v>2697</v>
      </c>
      <c r="J44" s="245" t="s">
        <v>4079</v>
      </c>
      <c r="K44" s="2" t="s">
        <v>735</v>
      </c>
      <c r="L44" s="2" t="s">
        <v>4081</v>
      </c>
      <c r="M44" s="2" t="s">
        <v>3088</v>
      </c>
      <c r="N44" s="2" t="s">
        <v>3514</v>
      </c>
      <c r="O44" s="197" t="s">
        <v>52</v>
      </c>
      <c r="P44" s="197" t="s">
        <v>730</v>
      </c>
      <c r="Q44" s="2" t="s">
        <v>2835</v>
      </c>
      <c r="R44" s="2" t="s">
        <v>2836</v>
      </c>
      <c r="S44" s="2" t="s">
        <v>417</v>
      </c>
      <c r="T44" s="3" t="s">
        <v>418</v>
      </c>
      <c r="U44" s="197" t="s">
        <v>2863</v>
      </c>
      <c r="V44" s="261" t="s">
        <v>4624</v>
      </c>
      <c r="W44" s="27" t="s">
        <v>2887</v>
      </c>
      <c r="X44" s="27" t="s">
        <v>2888</v>
      </c>
      <c r="Y44" s="27" t="s">
        <v>60</v>
      </c>
      <c r="Z44" s="28" t="s">
        <v>2889</v>
      </c>
      <c r="AA44" s="197" t="s">
        <v>821</v>
      </c>
      <c r="AB44" s="197" t="s">
        <v>899</v>
      </c>
      <c r="AC44" s="2" t="s">
        <v>822</v>
      </c>
      <c r="AD44" s="2" t="s">
        <v>2916</v>
      </c>
      <c r="AE44" s="2" t="s">
        <v>824</v>
      </c>
      <c r="AF44" s="2" t="s">
        <v>825</v>
      </c>
      <c r="AG44" s="197" t="s">
        <v>3999</v>
      </c>
      <c r="AH44" s="197" t="s">
        <v>2733</v>
      </c>
      <c r="AI44" s="7" t="s">
        <v>3527</v>
      </c>
      <c r="AJ44" s="2" t="s">
        <v>650</v>
      </c>
      <c r="AK44" s="2" t="s">
        <v>1261</v>
      </c>
      <c r="AL44" s="3" t="s">
        <v>3607</v>
      </c>
      <c r="AM44" s="197" t="s">
        <v>2864</v>
      </c>
      <c r="AN44" s="261" t="s">
        <v>4602</v>
      </c>
      <c r="AO44" s="7" t="s">
        <v>2890</v>
      </c>
      <c r="AP44" s="2" t="s">
        <v>2891</v>
      </c>
      <c r="AQ44" s="2" t="s">
        <v>3055</v>
      </c>
      <c r="AR44" s="3" t="s">
        <v>2892</v>
      </c>
      <c r="AS44" s="197" t="s">
        <v>2862</v>
      </c>
      <c r="AT44" s="261" t="s">
        <v>487</v>
      </c>
      <c r="AU44" s="2" t="s">
        <v>2886</v>
      </c>
      <c r="AV44" s="2" t="s">
        <v>1252</v>
      </c>
      <c r="AW44" s="2" t="s">
        <v>2412</v>
      </c>
      <c r="AX44" s="2" t="s">
        <v>3368</v>
      </c>
      <c r="AY44" s="197" t="s">
        <v>1606</v>
      </c>
      <c r="AZ44" s="261" t="s">
        <v>4079</v>
      </c>
      <c r="BA44" s="27" t="s">
        <v>3870</v>
      </c>
      <c r="BB44" s="27" t="s">
        <v>1226</v>
      </c>
      <c r="BC44" s="27" t="s">
        <v>1227</v>
      </c>
      <c r="BD44" s="28" t="s">
        <v>51</v>
      </c>
      <c r="BE44" s="197" t="s">
        <v>2861</v>
      </c>
      <c r="BF44" s="197" t="s">
        <v>2885</v>
      </c>
      <c r="BG44" s="7" t="s">
        <v>2883</v>
      </c>
      <c r="BH44" s="2" t="s">
        <v>4083</v>
      </c>
      <c r="BI44" s="2" t="s">
        <v>2607</v>
      </c>
      <c r="BJ44" s="3" t="s">
        <v>2884</v>
      </c>
      <c r="BK44" s="197"/>
      <c r="BL44" s="197"/>
      <c r="BM44" s="2"/>
      <c r="BN44" s="2"/>
      <c r="BO44" s="2"/>
      <c r="BP44" s="3"/>
      <c r="BQ44" s="197"/>
      <c r="BR44" s="197"/>
      <c r="BS44" s="2"/>
      <c r="BT44" s="2"/>
      <c r="BU44" s="2"/>
      <c r="BV44" s="3"/>
      <c r="BW44" s="197"/>
      <c r="BX44" s="197"/>
      <c r="BY44" s="2"/>
      <c r="BZ44" s="2"/>
      <c r="CA44" s="2"/>
      <c r="CB44" s="3"/>
      <c r="CC44" s="522"/>
      <c r="CD44" s="245"/>
      <c r="CE44" s="2"/>
      <c r="CF44" s="2"/>
      <c r="CG44" s="2"/>
      <c r="CH44" s="2"/>
      <c r="CI44" s="197"/>
      <c r="CJ44" s="197"/>
      <c r="CK44" s="2"/>
      <c r="CL44" s="2"/>
      <c r="CM44" s="2"/>
      <c r="CN44" s="3"/>
      <c r="CO44" s="197"/>
      <c r="CP44" s="197"/>
      <c r="CQ44" s="2"/>
      <c r="CR44" s="2"/>
      <c r="CS44" s="2"/>
      <c r="CT44" s="3"/>
      <c r="CU44" s="280"/>
      <c r="CV44" s="280"/>
      <c r="CW44" s="2"/>
      <c r="CX44" s="2"/>
      <c r="CY44" s="2"/>
      <c r="CZ44" s="2"/>
      <c r="DA44" s="280"/>
      <c r="DB44" s="280"/>
      <c r="DC44" s="2"/>
      <c r="DD44" s="2"/>
      <c r="DE44" s="2"/>
      <c r="DF44" s="2"/>
      <c r="DG44" s="280"/>
      <c r="DH44" s="280"/>
      <c r="DI44" s="2"/>
      <c r="DJ44" s="2"/>
      <c r="DK44" s="2"/>
      <c r="DL44" s="2"/>
      <c r="DM44" s="280"/>
      <c r="DN44" s="280"/>
      <c r="DO44" s="2"/>
      <c r="DP44" s="2"/>
      <c r="DQ44" s="2"/>
      <c r="DR44" s="2"/>
      <c r="DS44" s="280"/>
      <c r="DT44" s="280"/>
      <c r="DU44" s="2"/>
      <c r="DV44" s="2"/>
      <c r="DW44" s="2"/>
      <c r="DX44" s="2"/>
      <c r="DY44" s="280"/>
      <c r="DZ44" s="280"/>
      <c r="EA44" s="2"/>
      <c r="EB44" s="2"/>
      <c r="EC44" s="2"/>
      <c r="ED44" s="2"/>
      <c r="EE44" s="280"/>
      <c r="EF44" s="280"/>
      <c r="EG44" s="2"/>
      <c r="EH44" s="2"/>
      <c r="EI44" s="2"/>
      <c r="EJ44" s="2"/>
      <c r="EK44" s="280"/>
      <c r="EL44" s="280"/>
      <c r="EM44" s="2"/>
      <c r="EN44" s="2"/>
      <c r="EO44" s="2"/>
      <c r="EP44" s="2"/>
      <c r="EQ44" s="280"/>
      <c r="ER44" s="280"/>
      <c r="ES44" s="2"/>
      <c r="ET44" s="2"/>
      <c r="EU44" s="2"/>
      <c r="EV44" s="2"/>
      <c r="EW44" s="280"/>
      <c r="EX44" s="280"/>
      <c r="EY44" s="2"/>
      <c r="EZ44" s="2"/>
      <c r="FA44" s="2"/>
      <c r="FB44" s="2"/>
      <c r="FC44" s="280"/>
      <c r="FD44" s="280"/>
      <c r="FE44" s="2"/>
      <c r="FF44" s="2"/>
      <c r="FG44" s="2"/>
      <c r="FH44" s="2"/>
      <c r="FI44" s="280"/>
      <c r="FJ44" s="280"/>
      <c r="FK44" s="2"/>
      <c r="FL44" s="2"/>
      <c r="FM44" s="2"/>
      <c r="FN44" s="2"/>
      <c r="FO44" s="280"/>
      <c r="FP44" s="280"/>
      <c r="FQ44" s="2"/>
      <c r="FR44" s="2"/>
      <c r="FS44" s="2"/>
      <c r="FT44" s="2"/>
      <c r="FU44" s="280"/>
      <c r="FV44" s="280"/>
      <c r="FW44" s="2"/>
      <c r="FX44" s="2"/>
      <c r="FY44" s="2"/>
      <c r="FZ44" s="2"/>
      <c r="GA44" s="280"/>
      <c r="GB44" s="280"/>
      <c r="GC44" s="2"/>
      <c r="GD44" s="2"/>
      <c r="GE44" s="2"/>
      <c r="GF44" s="2"/>
      <c r="GG44" s="280"/>
      <c r="GH44" s="280"/>
      <c r="GI44" s="2"/>
      <c r="GJ44" s="2"/>
      <c r="GK44" s="2"/>
      <c r="GL44" s="2"/>
      <c r="GM44" s="280"/>
      <c r="GN44" s="280"/>
      <c r="GO44" s="2"/>
      <c r="GP44" s="2"/>
      <c r="GQ44" s="2"/>
      <c r="GR44" s="2"/>
      <c r="GS44" s="280"/>
      <c r="GT44" s="280"/>
      <c r="GU44" s="2"/>
      <c r="GV44" s="2"/>
      <c r="GW44" s="2"/>
      <c r="GX44" s="2"/>
      <c r="GY44" s="280"/>
      <c r="GZ44" s="280"/>
      <c r="HA44" s="2"/>
      <c r="HB44" s="2"/>
      <c r="HC44" s="2"/>
      <c r="HD44" s="2"/>
      <c r="HE44" s="280"/>
      <c r="HF44" s="280"/>
      <c r="HG44" s="2"/>
      <c r="HH44" s="2"/>
      <c r="HI44" s="2"/>
      <c r="HJ44" s="2"/>
    </row>
    <row r="45" spans="1:218" s="507" customFormat="1" ht="12.9" customHeight="1" x14ac:dyDescent="0.2">
      <c r="A45" s="10">
        <f>+'Past Quartets 1st - 3rd Place'!A45</f>
        <v>2015</v>
      </c>
      <c r="B45" s="503">
        <f>+'Past Quartets 1st - 3rd Place'!B45</f>
        <v>48</v>
      </c>
      <c r="C45" s="504" t="s">
        <v>949</v>
      </c>
      <c r="D45" s="197" t="s">
        <v>950</v>
      </c>
      <c r="E45" s="2" t="s">
        <v>3086</v>
      </c>
      <c r="F45" s="2" t="s">
        <v>3955</v>
      </c>
      <c r="G45" s="2" t="s">
        <v>2696</v>
      </c>
      <c r="H45" s="2" t="s">
        <v>2731</v>
      </c>
      <c r="I45" s="197" t="s">
        <v>956</v>
      </c>
      <c r="J45" s="245" t="s">
        <v>957</v>
      </c>
      <c r="K45" s="2" t="s">
        <v>917</v>
      </c>
      <c r="L45" s="2" t="s">
        <v>1291</v>
      </c>
      <c r="M45" s="2" t="s">
        <v>958</v>
      </c>
      <c r="N45" s="2" t="s">
        <v>959</v>
      </c>
      <c r="O45" s="197" t="s">
        <v>1061</v>
      </c>
      <c r="P45" s="197" t="s">
        <v>487</v>
      </c>
      <c r="Q45" s="7" t="s">
        <v>3081</v>
      </c>
      <c r="R45" s="2" t="s">
        <v>3368</v>
      </c>
      <c r="S45" s="2" t="s">
        <v>2967</v>
      </c>
      <c r="T45" s="3" t="s">
        <v>265</v>
      </c>
      <c r="U45" s="197" t="s">
        <v>3999</v>
      </c>
      <c r="V45" s="197" t="s">
        <v>2733</v>
      </c>
      <c r="W45" s="7" t="s">
        <v>3527</v>
      </c>
      <c r="X45" s="2" t="s">
        <v>650</v>
      </c>
      <c r="Y45" s="2" t="s">
        <v>1261</v>
      </c>
      <c r="Z45" s="3" t="s">
        <v>3607</v>
      </c>
      <c r="AA45" s="197" t="s">
        <v>52</v>
      </c>
      <c r="AB45" s="197" t="s">
        <v>730</v>
      </c>
      <c r="AC45" s="2" t="s">
        <v>2835</v>
      </c>
      <c r="AD45" s="2" t="s">
        <v>2836</v>
      </c>
      <c r="AE45" s="2" t="s">
        <v>417</v>
      </c>
      <c r="AF45" s="3" t="s">
        <v>418</v>
      </c>
      <c r="AG45" s="197" t="s">
        <v>962</v>
      </c>
      <c r="AH45" s="261" t="s">
        <v>3287</v>
      </c>
      <c r="AI45" s="27" t="s">
        <v>963</v>
      </c>
      <c r="AJ45" s="27" t="s">
        <v>3251</v>
      </c>
      <c r="AK45" s="27" t="s">
        <v>2941</v>
      </c>
      <c r="AL45" s="28" t="s">
        <v>434</v>
      </c>
      <c r="AM45" s="197" t="s">
        <v>964</v>
      </c>
      <c r="AN45" s="261" t="s">
        <v>965</v>
      </c>
      <c r="AO45" s="27" t="s">
        <v>2901</v>
      </c>
      <c r="AP45" s="27" t="s">
        <v>2332</v>
      </c>
      <c r="AQ45" s="27" t="s">
        <v>3083</v>
      </c>
      <c r="AR45" s="28" t="s">
        <v>3607</v>
      </c>
      <c r="AS45" s="197" t="s">
        <v>966</v>
      </c>
      <c r="AT45" s="197" t="s">
        <v>967</v>
      </c>
      <c r="AU45" s="2" t="s">
        <v>2328</v>
      </c>
      <c r="AV45" s="2" t="s">
        <v>446</v>
      </c>
      <c r="AW45" s="2" t="s">
        <v>445</v>
      </c>
      <c r="AX45" s="3" t="s">
        <v>3284</v>
      </c>
      <c r="AY45" s="197" t="s">
        <v>909</v>
      </c>
      <c r="AZ45" s="261" t="s">
        <v>4041</v>
      </c>
      <c r="BA45" s="27" t="s">
        <v>2497</v>
      </c>
      <c r="BB45" s="27" t="s">
        <v>2136</v>
      </c>
      <c r="BC45" s="27" t="s">
        <v>3256</v>
      </c>
      <c r="BD45" s="28" t="s">
        <v>910</v>
      </c>
      <c r="BE45" s="197" t="s">
        <v>2865</v>
      </c>
      <c r="BF45" s="261" t="s">
        <v>4041</v>
      </c>
      <c r="BG45" s="27" t="s">
        <v>2893</v>
      </c>
      <c r="BH45" s="27" t="s">
        <v>2894</v>
      </c>
      <c r="BI45" s="27" t="s">
        <v>2895</v>
      </c>
      <c r="BJ45" s="28" t="s">
        <v>2896</v>
      </c>
      <c r="BK45" s="197"/>
      <c r="BL45" s="197"/>
      <c r="BM45" s="2"/>
      <c r="BN45" s="2"/>
      <c r="BO45" s="2"/>
      <c r="BP45" s="3"/>
      <c r="BQ45" s="197"/>
      <c r="BR45" s="197"/>
      <c r="BS45" s="2"/>
      <c r="BT45" s="2"/>
      <c r="BU45" s="2"/>
      <c r="BV45" s="3"/>
      <c r="BW45" s="197"/>
      <c r="BX45" s="197"/>
      <c r="BY45" s="2"/>
      <c r="BZ45" s="2"/>
      <c r="CA45" s="2"/>
      <c r="CB45" s="3"/>
      <c r="CC45" s="522"/>
      <c r="CD45" s="245"/>
      <c r="CE45" s="2"/>
      <c r="CF45" s="2"/>
      <c r="CG45" s="2"/>
      <c r="CH45" s="2"/>
      <c r="CI45" s="197"/>
      <c r="CJ45" s="197"/>
      <c r="CK45" s="2"/>
      <c r="CL45" s="2"/>
      <c r="CM45" s="2"/>
      <c r="CN45" s="3"/>
      <c r="CO45" s="197"/>
      <c r="CP45" s="197"/>
      <c r="CQ45" s="2"/>
      <c r="CR45" s="2"/>
      <c r="CS45" s="2"/>
      <c r="CT45" s="3"/>
      <c r="CU45" s="280"/>
      <c r="CV45" s="280"/>
      <c r="CW45" s="2"/>
      <c r="CX45" s="2"/>
      <c r="CY45" s="2"/>
      <c r="CZ45" s="2"/>
      <c r="DA45" s="280"/>
      <c r="DB45" s="280"/>
      <c r="DC45" s="2"/>
      <c r="DD45" s="2"/>
      <c r="DE45" s="2"/>
      <c r="DF45" s="2"/>
      <c r="DG45" s="280"/>
      <c r="DH45" s="280"/>
      <c r="DI45" s="2"/>
      <c r="DJ45" s="2"/>
      <c r="DK45" s="2"/>
      <c r="DL45" s="2"/>
      <c r="DM45" s="280"/>
      <c r="DN45" s="280"/>
      <c r="DO45" s="2"/>
      <c r="DP45" s="2"/>
      <c r="DQ45" s="2"/>
      <c r="DR45" s="2"/>
      <c r="DS45" s="280"/>
      <c r="DT45" s="280"/>
      <c r="DU45" s="2"/>
      <c r="DV45" s="2"/>
      <c r="DW45" s="2"/>
      <c r="DX45" s="2"/>
      <c r="DY45" s="280"/>
      <c r="DZ45" s="280"/>
      <c r="EA45" s="2"/>
      <c r="EB45" s="2"/>
      <c r="EC45" s="2"/>
      <c r="ED45" s="2"/>
      <c r="EE45" s="280"/>
      <c r="EF45" s="280"/>
      <c r="EG45" s="2"/>
      <c r="EH45" s="2"/>
      <c r="EI45" s="2"/>
      <c r="EJ45" s="2"/>
      <c r="EK45" s="280"/>
      <c r="EL45" s="280"/>
      <c r="EM45" s="2"/>
      <c r="EN45" s="2"/>
      <c r="EO45" s="2"/>
      <c r="EP45" s="2"/>
      <c r="EQ45" s="280"/>
      <c r="ER45" s="280"/>
      <c r="ES45" s="2"/>
      <c r="ET45" s="2"/>
      <c r="EU45" s="2"/>
      <c r="EV45" s="2"/>
      <c r="EW45" s="280"/>
      <c r="EX45" s="280"/>
      <c r="EY45" s="2"/>
      <c r="EZ45" s="2"/>
      <c r="FA45" s="2"/>
      <c r="FB45" s="2"/>
      <c r="FC45" s="280"/>
      <c r="FD45" s="280"/>
      <c r="FE45" s="2"/>
      <c r="FF45" s="2"/>
      <c r="FG45" s="2"/>
      <c r="FH45" s="2"/>
      <c r="FI45" s="280"/>
      <c r="FJ45" s="280"/>
      <c r="FK45" s="2"/>
      <c r="FL45" s="2"/>
      <c r="FM45" s="2"/>
      <c r="FN45" s="2"/>
      <c r="FO45" s="280"/>
      <c r="FP45" s="280"/>
      <c r="FQ45" s="2"/>
      <c r="FR45" s="2"/>
      <c r="FS45" s="2"/>
      <c r="FT45" s="2"/>
      <c r="FU45" s="280"/>
      <c r="FV45" s="280"/>
      <c r="FW45" s="2"/>
      <c r="FX45" s="2"/>
      <c r="FY45" s="2"/>
      <c r="FZ45" s="2"/>
      <c r="GA45" s="280"/>
      <c r="GB45" s="280"/>
      <c r="GC45" s="2"/>
      <c r="GD45" s="2"/>
      <c r="GE45" s="2"/>
      <c r="GF45" s="2"/>
      <c r="GG45" s="280"/>
      <c r="GH45" s="280"/>
      <c r="GI45" s="2"/>
      <c r="GJ45" s="2"/>
      <c r="GK45" s="2"/>
      <c r="GL45" s="2"/>
      <c r="GM45" s="280"/>
      <c r="GN45" s="280"/>
      <c r="GO45" s="2"/>
      <c r="GP45" s="2"/>
      <c r="GQ45" s="2"/>
      <c r="GR45" s="2"/>
      <c r="GS45" s="280"/>
      <c r="GT45" s="280"/>
      <c r="GU45" s="2"/>
      <c r="GV45" s="2"/>
      <c r="GW45" s="2"/>
      <c r="GX45" s="2"/>
      <c r="GY45" s="280"/>
      <c r="GZ45" s="280"/>
      <c r="HA45" s="2"/>
      <c r="HB45" s="2"/>
      <c r="HC45" s="2"/>
      <c r="HD45" s="2"/>
      <c r="HE45" s="280"/>
      <c r="HF45" s="280"/>
      <c r="HG45" s="2"/>
      <c r="HH45" s="2"/>
      <c r="HI45" s="2"/>
      <c r="HJ45" s="2"/>
    </row>
    <row r="46" spans="1:218" s="507" customFormat="1" ht="12.9" customHeight="1" x14ac:dyDescent="0.2">
      <c r="A46" s="10">
        <f>+'Past Quartets 1st - 3rd Place'!A46</f>
        <v>2016</v>
      </c>
      <c r="B46" s="503">
        <f>+'Past Quartets 1st - 3rd Place'!B46</f>
        <v>29</v>
      </c>
      <c r="C46" s="504" t="s">
        <v>951</v>
      </c>
      <c r="D46" s="197" t="s">
        <v>952</v>
      </c>
      <c r="E46" s="2" t="s">
        <v>1427</v>
      </c>
      <c r="F46" s="2" t="s">
        <v>173</v>
      </c>
      <c r="G46" s="2" t="s">
        <v>457</v>
      </c>
      <c r="H46" s="3" t="s">
        <v>265</v>
      </c>
      <c r="I46" s="197" t="s">
        <v>987</v>
      </c>
      <c r="J46" s="197" t="s">
        <v>517</v>
      </c>
      <c r="K46" s="2" t="s">
        <v>698</v>
      </c>
      <c r="L46" s="2" t="s">
        <v>2767</v>
      </c>
      <c r="M46" s="2" t="s">
        <v>989</v>
      </c>
      <c r="N46" s="3" t="s">
        <v>990</v>
      </c>
      <c r="O46" s="197" t="s">
        <v>968</v>
      </c>
      <c r="P46" s="504" t="s">
        <v>969</v>
      </c>
      <c r="Q46" s="2" t="s">
        <v>1259</v>
      </c>
      <c r="R46" s="2" t="s">
        <v>4080</v>
      </c>
      <c r="S46" s="2" t="s">
        <v>808</v>
      </c>
      <c r="T46" s="3" t="s">
        <v>66</v>
      </c>
      <c r="U46" s="197" t="s">
        <v>1099</v>
      </c>
      <c r="V46" s="261" t="s">
        <v>1100</v>
      </c>
      <c r="W46" s="27" t="s">
        <v>2331</v>
      </c>
      <c r="X46" s="27" t="s">
        <v>1101</v>
      </c>
      <c r="Y46" s="27" t="s">
        <v>74</v>
      </c>
      <c r="Z46" s="28" t="s">
        <v>1102</v>
      </c>
      <c r="AA46" s="197" t="s">
        <v>908</v>
      </c>
      <c r="AB46" s="261" t="s">
        <v>487</v>
      </c>
      <c r="AC46" s="7" t="s">
        <v>3081</v>
      </c>
      <c r="AD46" s="2" t="s">
        <v>3368</v>
      </c>
      <c r="AE46" s="2" t="s">
        <v>3367</v>
      </c>
      <c r="AF46" s="3" t="s">
        <v>265</v>
      </c>
      <c r="AG46" s="197" t="s">
        <v>3999</v>
      </c>
      <c r="AH46" s="197" t="s">
        <v>2733</v>
      </c>
      <c r="AI46" s="7" t="s">
        <v>3527</v>
      </c>
      <c r="AJ46" s="2" t="s">
        <v>650</v>
      </c>
      <c r="AK46" s="2" t="s">
        <v>1261</v>
      </c>
      <c r="AL46" s="3" t="s">
        <v>3607</v>
      </c>
      <c r="AM46" s="197" t="s">
        <v>1089</v>
      </c>
      <c r="AN46" s="261" t="s">
        <v>4079</v>
      </c>
      <c r="AO46" s="27" t="s">
        <v>1228</v>
      </c>
      <c r="AP46" s="27" t="s">
        <v>4081</v>
      </c>
      <c r="AQ46" s="27" t="s">
        <v>3088</v>
      </c>
      <c r="AR46" s="28" t="s">
        <v>3555</v>
      </c>
      <c r="AS46" s="197" t="s">
        <v>2867</v>
      </c>
      <c r="AT46" s="245" t="s">
        <v>1090</v>
      </c>
      <c r="AU46" s="2" t="s">
        <v>1091</v>
      </c>
      <c r="AV46" s="2" t="s">
        <v>2903</v>
      </c>
      <c r="AW46" s="2" t="s">
        <v>1424</v>
      </c>
      <c r="AX46" s="2" t="s">
        <v>2904</v>
      </c>
      <c r="AY46" s="197" t="s">
        <v>4418</v>
      </c>
      <c r="AZ46" s="197" t="s">
        <v>2011</v>
      </c>
      <c r="BA46" s="7" t="s">
        <v>2887</v>
      </c>
      <c r="BB46" s="2" t="s">
        <v>1097</v>
      </c>
      <c r="BC46" s="2" t="s">
        <v>1639</v>
      </c>
      <c r="BD46" s="3" t="s">
        <v>1098</v>
      </c>
      <c r="BE46" s="197" t="s">
        <v>964</v>
      </c>
      <c r="BF46" s="261" t="s">
        <v>965</v>
      </c>
      <c r="BG46" s="27" t="s">
        <v>2901</v>
      </c>
      <c r="BH46" s="27" t="s">
        <v>2332</v>
      </c>
      <c r="BI46" s="27" t="s">
        <v>3083</v>
      </c>
      <c r="BJ46" s="28" t="s">
        <v>3607</v>
      </c>
      <c r="BK46" s="197" t="s">
        <v>1103</v>
      </c>
      <c r="BL46" s="261" t="s">
        <v>1104</v>
      </c>
      <c r="BM46" s="27" t="s">
        <v>1105</v>
      </c>
      <c r="BN46" s="27" t="s">
        <v>1106</v>
      </c>
      <c r="BO46" s="27" t="s">
        <v>1107</v>
      </c>
      <c r="BP46" s="28" t="s">
        <v>1108</v>
      </c>
      <c r="BQ46" s="197"/>
      <c r="BR46" s="197"/>
      <c r="BS46" s="2"/>
      <c r="BT46" s="2"/>
      <c r="BU46" s="2"/>
      <c r="BV46" s="3"/>
      <c r="BW46" s="197"/>
      <c r="BX46" s="197"/>
      <c r="BY46" s="2"/>
      <c r="BZ46" s="2"/>
      <c r="CA46" s="2"/>
      <c r="CB46" s="3"/>
      <c r="CC46" s="522"/>
      <c r="CD46" s="245"/>
      <c r="CE46" s="2"/>
      <c r="CF46" s="2"/>
      <c r="CG46" s="2"/>
      <c r="CH46" s="2"/>
      <c r="CI46" s="197"/>
      <c r="CJ46" s="197"/>
      <c r="CK46" s="2"/>
      <c r="CL46" s="2"/>
      <c r="CM46" s="2"/>
      <c r="CN46" s="3"/>
      <c r="CO46" s="197"/>
      <c r="CP46" s="197"/>
      <c r="CQ46" s="2"/>
      <c r="CR46" s="2"/>
      <c r="CS46" s="2"/>
      <c r="CT46" s="3"/>
      <c r="CU46" s="280"/>
      <c r="CV46" s="280"/>
      <c r="CW46" s="2"/>
      <c r="CX46" s="2"/>
      <c r="CY46" s="2"/>
      <c r="CZ46" s="2"/>
      <c r="DA46" s="280"/>
      <c r="DB46" s="280"/>
      <c r="DC46" s="2"/>
      <c r="DD46" s="2"/>
      <c r="DE46" s="2"/>
      <c r="DF46" s="2"/>
      <c r="DG46" s="280"/>
      <c r="DH46" s="280"/>
      <c r="DI46" s="2"/>
      <c r="DJ46" s="2"/>
      <c r="DK46" s="2"/>
      <c r="DL46" s="2"/>
      <c r="DM46" s="280"/>
      <c r="DN46" s="280"/>
      <c r="DO46" s="2"/>
      <c r="DP46" s="2"/>
      <c r="DQ46" s="2"/>
      <c r="DR46" s="2"/>
      <c r="DS46" s="280"/>
      <c r="DT46" s="280"/>
      <c r="DU46" s="2"/>
      <c r="DV46" s="2"/>
      <c r="DW46" s="2"/>
      <c r="DX46" s="2"/>
      <c r="DY46" s="280"/>
      <c r="DZ46" s="280"/>
      <c r="EA46" s="2"/>
      <c r="EB46" s="2"/>
      <c r="EC46" s="2"/>
      <c r="ED46" s="2"/>
      <c r="EE46" s="280"/>
      <c r="EF46" s="280"/>
      <c r="EG46" s="2"/>
      <c r="EH46" s="2"/>
      <c r="EI46" s="2"/>
      <c r="EJ46" s="2"/>
      <c r="EK46" s="280"/>
      <c r="EL46" s="280"/>
      <c r="EM46" s="2"/>
      <c r="EN46" s="2"/>
      <c r="EO46" s="2"/>
      <c r="EP46" s="2"/>
      <c r="EQ46" s="280"/>
      <c r="ER46" s="280"/>
      <c r="ES46" s="2"/>
      <c r="ET46" s="2"/>
      <c r="EU46" s="2"/>
      <c r="EV46" s="2"/>
      <c r="EW46" s="280"/>
      <c r="EX46" s="280"/>
      <c r="EY46" s="2"/>
      <c r="EZ46" s="2"/>
      <c r="FA46" s="2"/>
      <c r="FB46" s="2"/>
      <c r="FC46" s="280"/>
      <c r="FD46" s="280"/>
      <c r="FE46" s="2"/>
      <c r="FF46" s="2"/>
      <c r="FG46" s="2"/>
      <c r="FH46" s="2"/>
      <c r="FI46" s="280"/>
      <c r="FJ46" s="280"/>
      <c r="FK46" s="2"/>
      <c r="FL46" s="2"/>
      <c r="FM46" s="2"/>
      <c r="FN46" s="2"/>
      <c r="FO46" s="280"/>
      <c r="FP46" s="280"/>
      <c r="FQ46" s="2"/>
      <c r="FR46" s="2"/>
      <c r="FS46" s="2"/>
      <c r="FT46" s="2"/>
      <c r="FU46" s="280"/>
      <c r="FV46" s="280"/>
      <c r="FW46" s="2"/>
      <c r="FX46" s="2"/>
      <c r="FY46" s="2"/>
      <c r="FZ46" s="2"/>
      <c r="GA46" s="280"/>
      <c r="GB46" s="280"/>
      <c r="GC46" s="2"/>
      <c r="GD46" s="2"/>
      <c r="GE46" s="2"/>
      <c r="GF46" s="2"/>
      <c r="GG46" s="280"/>
      <c r="GH46" s="280"/>
      <c r="GI46" s="2"/>
      <c r="GJ46" s="2"/>
      <c r="GK46" s="2"/>
      <c r="GL46" s="2"/>
      <c r="GM46" s="280"/>
      <c r="GN46" s="280"/>
      <c r="GO46" s="2"/>
      <c r="GP46" s="2"/>
      <c r="GQ46" s="2"/>
      <c r="GR46" s="2"/>
      <c r="GS46" s="280"/>
      <c r="GT46" s="280"/>
      <c r="GU46" s="2"/>
      <c r="GV46" s="2"/>
      <c r="GW46" s="2"/>
      <c r="GX46" s="2"/>
      <c r="GY46" s="280"/>
      <c r="GZ46" s="280"/>
      <c r="HA46" s="2"/>
      <c r="HB46" s="2"/>
      <c r="HC46" s="2"/>
      <c r="HD46" s="2"/>
      <c r="HE46" s="280"/>
      <c r="HF46" s="280"/>
      <c r="HG46" s="2"/>
      <c r="HH46" s="2"/>
      <c r="HI46" s="2"/>
      <c r="HJ46" s="2"/>
    </row>
    <row r="47" spans="1:218" s="507" customFormat="1" ht="12.9" customHeight="1" x14ac:dyDescent="0.2">
      <c r="A47" s="10">
        <f>+'Past Quartets 1st - 3rd Place'!A47</f>
        <v>2017</v>
      </c>
      <c r="B47" s="503">
        <f>+'Past Quartets 1st - 3rd Place'!B47</f>
        <v>38</v>
      </c>
      <c r="C47" s="504" t="s">
        <v>4330</v>
      </c>
      <c r="D47" s="197" t="s">
        <v>4394</v>
      </c>
      <c r="E47" s="2" t="s">
        <v>1243</v>
      </c>
      <c r="F47" s="2" t="s">
        <v>4331</v>
      </c>
      <c r="G47" s="2" t="s">
        <v>4332</v>
      </c>
      <c r="H47" s="3" t="s">
        <v>924</v>
      </c>
      <c r="I47" s="197" t="s">
        <v>4465</v>
      </c>
      <c r="J47" s="245" t="s">
        <v>4396</v>
      </c>
      <c r="K47" s="2" t="s">
        <v>4333</v>
      </c>
      <c r="L47" s="2" t="s">
        <v>4334</v>
      </c>
      <c r="M47" s="2" t="s">
        <v>4335</v>
      </c>
      <c r="N47" s="2" t="s">
        <v>4336</v>
      </c>
      <c r="O47" s="197" t="s">
        <v>1143</v>
      </c>
      <c r="P47" s="197" t="s">
        <v>4397</v>
      </c>
      <c r="Q47" s="2" t="s">
        <v>1144</v>
      </c>
      <c r="R47" s="2" t="s">
        <v>1145</v>
      </c>
      <c r="S47" s="2" t="s">
        <v>2702</v>
      </c>
      <c r="T47" s="3" t="s">
        <v>4337</v>
      </c>
      <c r="U47" s="197" t="s">
        <v>951</v>
      </c>
      <c r="V47" s="197" t="s">
        <v>952</v>
      </c>
      <c r="W47" s="2" t="s">
        <v>1427</v>
      </c>
      <c r="X47" s="2" t="s">
        <v>173</v>
      </c>
      <c r="Y47" s="2" t="s">
        <v>457</v>
      </c>
      <c r="Z47" s="3" t="s">
        <v>252</v>
      </c>
      <c r="AA47" s="197" t="s">
        <v>987</v>
      </c>
      <c r="AB47" s="197" t="s">
        <v>517</v>
      </c>
      <c r="AC47" s="2" t="s">
        <v>698</v>
      </c>
      <c r="AD47" s="2" t="s">
        <v>990</v>
      </c>
      <c r="AE47" s="2" t="s">
        <v>989</v>
      </c>
      <c r="AF47" s="3" t="s">
        <v>2767</v>
      </c>
      <c r="AG47" s="197" t="s">
        <v>1089</v>
      </c>
      <c r="AH47" s="261" t="s">
        <v>4079</v>
      </c>
      <c r="AI47" s="27" t="s">
        <v>1228</v>
      </c>
      <c r="AJ47" s="27" t="s">
        <v>4081</v>
      </c>
      <c r="AK47" s="27" t="s">
        <v>3088</v>
      </c>
      <c r="AL47" s="28" t="s">
        <v>3555</v>
      </c>
      <c r="AM47" s="197" t="s">
        <v>1103</v>
      </c>
      <c r="AN47" s="261" t="s">
        <v>1104</v>
      </c>
      <c r="AO47" s="27" t="s">
        <v>1105</v>
      </c>
      <c r="AP47" s="27" t="s">
        <v>1106</v>
      </c>
      <c r="AQ47" s="27" t="s">
        <v>1107</v>
      </c>
      <c r="AR47" s="28" t="s">
        <v>1108</v>
      </c>
      <c r="AS47" s="197" t="s">
        <v>4338</v>
      </c>
      <c r="AT47" s="197" t="s">
        <v>4398</v>
      </c>
      <c r="AU47" s="2" t="s">
        <v>2949</v>
      </c>
      <c r="AV47" s="2" t="s">
        <v>1101</v>
      </c>
      <c r="AW47" s="2" t="s">
        <v>2941</v>
      </c>
      <c r="AX47" s="3" t="s">
        <v>2935</v>
      </c>
      <c r="AY47" s="197" t="s">
        <v>69</v>
      </c>
      <c r="AZ47" s="504" t="s">
        <v>817</v>
      </c>
      <c r="BA47" s="2" t="s">
        <v>70</v>
      </c>
      <c r="BB47" s="2" t="s">
        <v>4339</v>
      </c>
      <c r="BC47" s="2" t="s">
        <v>2587</v>
      </c>
      <c r="BD47" s="3" t="s">
        <v>4340</v>
      </c>
      <c r="BE47" s="197" t="s">
        <v>908</v>
      </c>
      <c r="BF47" s="261" t="s">
        <v>487</v>
      </c>
      <c r="BG47" s="7" t="s">
        <v>3081</v>
      </c>
      <c r="BH47" s="2" t="s">
        <v>3368</v>
      </c>
      <c r="BI47" s="2" t="s">
        <v>3367</v>
      </c>
      <c r="BJ47" s="3" t="s">
        <v>3602</v>
      </c>
      <c r="BK47" s="197"/>
      <c r="BL47" s="261"/>
      <c r="BM47" s="27"/>
      <c r="BN47" s="27"/>
      <c r="BO47" s="27"/>
      <c r="BP47" s="28"/>
      <c r="BQ47" s="197"/>
      <c r="BR47" s="197"/>
      <c r="BS47" s="2"/>
      <c r="BT47" s="2"/>
      <c r="BU47" s="2"/>
      <c r="BV47" s="3"/>
      <c r="BW47" s="197"/>
      <c r="BX47" s="197"/>
      <c r="BY47" s="2"/>
      <c r="BZ47" s="2"/>
      <c r="CA47" s="2"/>
      <c r="CB47" s="3"/>
      <c r="CC47" s="522"/>
      <c r="CD47" s="245"/>
      <c r="CE47" s="2"/>
      <c r="CF47" s="2"/>
      <c r="CG47" s="2"/>
      <c r="CH47" s="2"/>
      <c r="CI47" s="197"/>
      <c r="CJ47" s="197"/>
      <c r="CK47" s="2"/>
      <c r="CL47" s="2"/>
      <c r="CM47" s="2"/>
      <c r="CN47" s="3"/>
      <c r="CO47" s="197"/>
      <c r="CP47" s="197"/>
      <c r="CQ47" s="2"/>
      <c r="CR47" s="2"/>
      <c r="CS47" s="2"/>
      <c r="CT47" s="3"/>
      <c r="CU47" s="280"/>
      <c r="CV47" s="280"/>
      <c r="CW47" s="2"/>
      <c r="CX47" s="2"/>
      <c r="CY47" s="2"/>
      <c r="CZ47" s="2"/>
      <c r="DA47" s="280"/>
      <c r="DB47" s="280"/>
      <c r="DC47" s="2"/>
      <c r="DD47" s="2"/>
      <c r="DE47" s="2"/>
      <c r="DF47" s="2"/>
      <c r="DG47" s="280"/>
      <c r="DH47" s="280"/>
      <c r="DI47" s="2"/>
      <c r="DJ47" s="2"/>
      <c r="DK47" s="2"/>
      <c r="DL47" s="2"/>
      <c r="DM47" s="280"/>
      <c r="DN47" s="280"/>
      <c r="DO47" s="2"/>
      <c r="DP47" s="2"/>
      <c r="DQ47" s="2"/>
      <c r="DR47" s="2"/>
      <c r="DS47" s="280"/>
      <c r="DT47" s="280"/>
      <c r="DU47" s="2"/>
      <c r="DV47" s="2"/>
      <c r="DW47" s="2"/>
      <c r="DX47" s="2"/>
      <c r="DY47" s="280"/>
      <c r="DZ47" s="280"/>
      <c r="EA47" s="2"/>
      <c r="EB47" s="2"/>
      <c r="EC47" s="2"/>
      <c r="ED47" s="2"/>
      <c r="EE47" s="280"/>
      <c r="EF47" s="280"/>
      <c r="EG47" s="2"/>
      <c r="EH47" s="2"/>
      <c r="EI47" s="2"/>
      <c r="EJ47" s="2"/>
      <c r="EK47" s="280"/>
      <c r="EL47" s="280"/>
      <c r="EM47" s="2"/>
      <c r="EN47" s="2"/>
      <c r="EO47" s="2"/>
      <c r="EP47" s="2"/>
      <c r="EQ47" s="280"/>
      <c r="ER47" s="280"/>
      <c r="ES47" s="2"/>
      <c r="ET47" s="2"/>
      <c r="EU47" s="2"/>
      <c r="EV47" s="2"/>
      <c r="EW47" s="280"/>
      <c r="EX47" s="280"/>
      <c r="EY47" s="2"/>
      <c r="EZ47" s="2"/>
      <c r="FA47" s="2"/>
      <c r="FB47" s="2"/>
      <c r="FC47" s="280"/>
      <c r="FD47" s="280"/>
      <c r="FE47" s="2"/>
      <c r="FF47" s="2"/>
      <c r="FG47" s="2"/>
      <c r="FH47" s="2"/>
      <c r="FI47" s="280"/>
      <c r="FJ47" s="280"/>
      <c r="FK47" s="2"/>
      <c r="FL47" s="2"/>
      <c r="FM47" s="2"/>
      <c r="FN47" s="2"/>
      <c r="FO47" s="280"/>
      <c r="FP47" s="280"/>
      <c r="FQ47" s="2"/>
      <c r="FR47" s="2"/>
      <c r="FS47" s="2"/>
      <c r="FT47" s="2"/>
      <c r="FU47" s="280"/>
      <c r="FV47" s="280"/>
      <c r="FW47" s="2"/>
      <c r="FX47" s="2"/>
      <c r="FY47" s="2"/>
      <c r="FZ47" s="2"/>
      <c r="GA47" s="280"/>
      <c r="GB47" s="280"/>
      <c r="GC47" s="2"/>
      <c r="GD47" s="2"/>
      <c r="GE47" s="2"/>
      <c r="GF47" s="2"/>
      <c r="GG47" s="280"/>
      <c r="GH47" s="280"/>
      <c r="GI47" s="2"/>
      <c r="GJ47" s="2"/>
      <c r="GK47" s="2"/>
      <c r="GL47" s="2"/>
      <c r="GM47" s="280"/>
      <c r="GN47" s="280"/>
      <c r="GO47" s="2"/>
      <c r="GP47" s="2"/>
      <c r="GQ47" s="2"/>
      <c r="GR47" s="2"/>
      <c r="GS47" s="280"/>
      <c r="GT47" s="280"/>
      <c r="GU47" s="2"/>
      <c r="GV47" s="2"/>
      <c r="GW47" s="2"/>
      <c r="GX47" s="2"/>
      <c r="GY47" s="280"/>
      <c r="GZ47" s="280"/>
      <c r="HA47" s="2"/>
      <c r="HB47" s="2"/>
      <c r="HC47" s="2"/>
      <c r="HD47" s="2"/>
      <c r="HE47" s="280"/>
      <c r="HF47" s="280"/>
      <c r="HG47" s="2"/>
      <c r="HH47" s="2"/>
      <c r="HI47" s="2"/>
      <c r="HJ47" s="2"/>
    </row>
    <row r="48" spans="1:218" s="507" customFormat="1" ht="12.9" customHeight="1" x14ac:dyDescent="0.2">
      <c r="A48" s="10">
        <f>+'Past Quartets 1st - 3rd Place'!A48</f>
        <v>2018</v>
      </c>
      <c r="B48" s="503">
        <f>+'Past Quartets 1st - 3rd Place'!B48</f>
        <v>31</v>
      </c>
      <c r="C48" s="197" t="s">
        <v>4529</v>
      </c>
      <c r="D48" s="261" t="s">
        <v>4079</v>
      </c>
      <c r="E48" s="7" t="s">
        <v>4530</v>
      </c>
      <c r="F48" s="2" t="s">
        <v>4531</v>
      </c>
      <c r="G48" s="2" t="s">
        <v>3046</v>
      </c>
      <c r="H48" s="3" t="s">
        <v>959</v>
      </c>
      <c r="I48" s="197" t="s">
        <v>1103</v>
      </c>
      <c r="J48" s="261" t="s">
        <v>4599</v>
      </c>
      <c r="K48" s="27" t="s">
        <v>1105</v>
      </c>
      <c r="L48" s="27" t="s">
        <v>1106</v>
      </c>
      <c r="M48" s="27" t="s">
        <v>1107</v>
      </c>
      <c r="N48" s="28" t="s">
        <v>1108</v>
      </c>
      <c r="O48" s="197" t="s">
        <v>987</v>
      </c>
      <c r="P48" s="197" t="s">
        <v>4600</v>
      </c>
      <c r="Q48" s="2" t="s">
        <v>698</v>
      </c>
      <c r="R48" s="2" t="s">
        <v>3955</v>
      </c>
      <c r="S48" s="2" t="s">
        <v>989</v>
      </c>
      <c r="T48" s="2" t="s">
        <v>2767</v>
      </c>
      <c r="U48" s="197" t="s">
        <v>4509</v>
      </c>
      <c r="V48" s="197" t="s">
        <v>4041</v>
      </c>
      <c r="W48" s="2" t="s">
        <v>2497</v>
      </c>
      <c r="X48" s="2" t="s">
        <v>3985</v>
      </c>
      <c r="Y48" s="2" t="s">
        <v>1120</v>
      </c>
      <c r="Z48" s="3" t="s">
        <v>4341</v>
      </c>
      <c r="AA48" s="197" t="s">
        <v>4338</v>
      </c>
      <c r="AB48" s="197" t="s">
        <v>4601</v>
      </c>
      <c r="AC48" s="2" t="s">
        <v>2949</v>
      </c>
      <c r="AD48" s="2" t="s">
        <v>1101</v>
      </c>
      <c r="AE48" s="2" t="s">
        <v>2941</v>
      </c>
      <c r="AF48" s="3" t="s">
        <v>2935</v>
      </c>
      <c r="AG48" s="197" t="s">
        <v>4525</v>
      </c>
      <c r="AH48" s="197" t="s">
        <v>517</v>
      </c>
      <c r="AI48" s="2" t="s">
        <v>2764</v>
      </c>
      <c r="AJ48" s="2" t="s">
        <v>4355</v>
      </c>
      <c r="AK48" s="2" t="s">
        <v>4526</v>
      </c>
      <c r="AL48" s="3" t="s">
        <v>4527</v>
      </c>
      <c r="AM48" s="197" t="s">
        <v>2864</v>
      </c>
      <c r="AN48" s="261" t="s">
        <v>4602</v>
      </c>
      <c r="AO48" s="27" t="s">
        <v>449</v>
      </c>
      <c r="AP48" s="27" t="s">
        <v>2891</v>
      </c>
      <c r="AQ48" s="27" t="s">
        <v>3055</v>
      </c>
      <c r="AR48" s="28" t="s">
        <v>2892</v>
      </c>
      <c r="AS48" s="197" t="s">
        <v>4532</v>
      </c>
      <c r="AT48" s="504" t="s">
        <v>4603</v>
      </c>
      <c r="AU48" s="2" t="s">
        <v>1511</v>
      </c>
      <c r="AV48" s="2" t="s">
        <v>1124</v>
      </c>
      <c r="AW48" s="2" t="s">
        <v>4533</v>
      </c>
      <c r="AX48" s="3" t="s">
        <v>4534</v>
      </c>
      <c r="AY48" s="197" t="s">
        <v>4345</v>
      </c>
      <c r="AZ48" s="197" t="s">
        <v>4604</v>
      </c>
      <c r="BA48" s="7" t="s">
        <v>4346</v>
      </c>
      <c r="BB48" s="2" t="s">
        <v>4347</v>
      </c>
      <c r="BC48" s="2" t="s">
        <v>3543</v>
      </c>
      <c r="BD48" s="3" t="s">
        <v>4348</v>
      </c>
      <c r="BE48" s="197" t="s">
        <v>1089</v>
      </c>
      <c r="BF48" s="261" t="s">
        <v>4079</v>
      </c>
      <c r="BG48" s="27" t="s">
        <v>1228</v>
      </c>
      <c r="BH48" s="27" t="s">
        <v>4081</v>
      </c>
      <c r="BI48" s="27" t="s">
        <v>3088</v>
      </c>
      <c r="BJ48" s="28" t="s">
        <v>3555</v>
      </c>
      <c r="BK48" s="197"/>
      <c r="BL48" s="261"/>
      <c r="BM48" s="27"/>
      <c r="BN48" s="27"/>
      <c r="BO48" s="27"/>
      <c r="BP48" s="28"/>
      <c r="BQ48" s="197"/>
      <c r="BR48" s="197"/>
      <c r="BS48" s="2"/>
      <c r="BT48" s="2"/>
      <c r="BU48" s="2"/>
      <c r="BV48" s="3"/>
      <c r="BW48" s="197"/>
      <c r="BX48" s="197"/>
      <c r="BY48" s="2"/>
      <c r="BZ48" s="2"/>
      <c r="CA48" s="2"/>
      <c r="CB48" s="3"/>
      <c r="CC48" s="522"/>
      <c r="CD48" s="245"/>
      <c r="CE48" s="2"/>
      <c r="CF48" s="2"/>
      <c r="CG48" s="2"/>
      <c r="CH48" s="2"/>
      <c r="CI48" s="197"/>
      <c r="CJ48" s="197"/>
      <c r="CK48" s="2"/>
      <c r="CL48" s="2"/>
      <c r="CM48" s="2"/>
      <c r="CN48" s="3"/>
      <c r="CO48" s="197"/>
      <c r="CP48" s="197"/>
      <c r="CQ48" s="2"/>
      <c r="CR48" s="2"/>
      <c r="CS48" s="2"/>
      <c r="CT48" s="3"/>
      <c r="CU48" s="280"/>
      <c r="CV48" s="280"/>
      <c r="CW48" s="2"/>
      <c r="CX48" s="2"/>
      <c r="CY48" s="2"/>
      <c r="CZ48" s="2"/>
      <c r="DA48" s="280"/>
      <c r="DB48" s="280"/>
      <c r="DC48" s="2"/>
      <c r="DD48" s="2"/>
      <c r="DE48" s="2"/>
      <c r="DF48" s="2"/>
      <c r="DG48" s="280"/>
      <c r="DH48" s="280"/>
      <c r="DI48" s="2"/>
      <c r="DJ48" s="2"/>
      <c r="DK48" s="2"/>
      <c r="DL48" s="2"/>
      <c r="DM48" s="280"/>
      <c r="DN48" s="280"/>
      <c r="DO48" s="2"/>
      <c r="DP48" s="2"/>
      <c r="DQ48" s="2"/>
      <c r="DR48" s="2"/>
      <c r="DS48" s="280"/>
      <c r="DT48" s="280"/>
      <c r="DU48" s="2"/>
      <c r="DV48" s="2"/>
      <c r="DW48" s="2"/>
      <c r="DX48" s="2"/>
      <c r="DY48" s="280"/>
      <c r="DZ48" s="280"/>
      <c r="EA48" s="2"/>
      <c r="EB48" s="2"/>
      <c r="EC48" s="2"/>
      <c r="ED48" s="2"/>
      <c r="EE48" s="280"/>
      <c r="EF48" s="280"/>
      <c r="EG48" s="2"/>
      <c r="EH48" s="2"/>
      <c r="EI48" s="2"/>
      <c r="EJ48" s="2"/>
      <c r="EK48" s="280"/>
      <c r="EL48" s="280"/>
      <c r="EM48" s="2"/>
      <c r="EN48" s="2"/>
      <c r="EO48" s="2"/>
      <c r="EP48" s="2"/>
      <c r="EQ48" s="280"/>
      <c r="ER48" s="280"/>
      <c r="ES48" s="2"/>
      <c r="ET48" s="2"/>
      <c r="EU48" s="2"/>
      <c r="EV48" s="2"/>
      <c r="EW48" s="280"/>
      <c r="EX48" s="280"/>
      <c r="EY48" s="2"/>
      <c r="EZ48" s="2"/>
      <c r="FA48" s="2"/>
      <c r="FB48" s="2"/>
      <c r="FC48" s="280"/>
      <c r="FD48" s="280"/>
      <c r="FE48" s="2"/>
      <c r="FF48" s="2"/>
      <c r="FG48" s="2"/>
      <c r="FH48" s="2"/>
      <c r="FI48" s="280"/>
      <c r="FJ48" s="280"/>
      <c r="FK48" s="2"/>
      <c r="FL48" s="2"/>
      <c r="FM48" s="2"/>
      <c r="FN48" s="2"/>
      <c r="FO48" s="280"/>
      <c r="FP48" s="280"/>
      <c r="FQ48" s="2"/>
      <c r="FR48" s="2"/>
      <c r="FS48" s="2"/>
      <c r="FT48" s="2"/>
      <c r="FU48" s="280"/>
      <c r="FV48" s="280"/>
      <c r="FW48" s="2"/>
      <c r="FX48" s="2"/>
      <c r="FY48" s="2"/>
      <c r="FZ48" s="2"/>
      <c r="GA48" s="280"/>
      <c r="GB48" s="280"/>
      <c r="GC48" s="2"/>
      <c r="GD48" s="2"/>
      <c r="GE48" s="2"/>
      <c r="GF48" s="2"/>
      <c r="GG48" s="280"/>
      <c r="GH48" s="280"/>
      <c r="GI48" s="2"/>
      <c r="GJ48" s="2"/>
      <c r="GK48" s="2"/>
      <c r="GL48" s="2"/>
      <c r="GM48" s="280"/>
      <c r="GN48" s="280"/>
      <c r="GO48" s="2"/>
      <c r="GP48" s="2"/>
      <c r="GQ48" s="2"/>
      <c r="GR48" s="2"/>
      <c r="GS48" s="280"/>
      <c r="GT48" s="280"/>
      <c r="GU48" s="2"/>
      <c r="GV48" s="2"/>
      <c r="GW48" s="2"/>
      <c r="GX48" s="2"/>
      <c r="GY48" s="280"/>
      <c r="GZ48" s="280"/>
      <c r="HA48" s="2"/>
      <c r="HB48" s="2"/>
      <c r="HC48" s="2"/>
      <c r="HD48" s="2"/>
      <c r="HE48" s="280"/>
      <c r="HF48" s="280"/>
      <c r="HG48" s="2"/>
      <c r="HH48" s="2"/>
      <c r="HI48" s="2"/>
      <c r="HJ48" s="2"/>
    </row>
    <row r="49" spans="1:230" s="507" customFormat="1" ht="12.9" customHeight="1" x14ac:dyDescent="0.2">
      <c r="A49" s="10">
        <f>+'Past Quartets 1st - 3rd Place'!A49</f>
        <v>2019</v>
      </c>
      <c r="B49" s="503">
        <f>+'Past Quartets 1st - 3rd Place'!B49</f>
        <v>36</v>
      </c>
      <c r="C49" s="197" t="s">
        <v>4669</v>
      </c>
      <c r="D49" s="197" t="s">
        <v>4489</v>
      </c>
      <c r="E49" s="2" t="s">
        <v>838</v>
      </c>
      <c r="F49" s="2" t="s">
        <v>4670</v>
      </c>
      <c r="G49" s="2" t="s">
        <v>4759</v>
      </c>
      <c r="H49" s="2" t="s">
        <v>924</v>
      </c>
      <c r="I49" s="197" t="s">
        <v>4678</v>
      </c>
      <c r="J49" s="197" t="s">
        <v>4707</v>
      </c>
      <c r="K49" s="2" t="s">
        <v>4350</v>
      </c>
      <c r="L49" s="2" t="s">
        <v>4679</v>
      </c>
      <c r="M49" s="2" t="s">
        <v>2410</v>
      </c>
      <c r="N49" s="3" t="s">
        <v>4539</v>
      </c>
      <c r="O49" s="197" t="s">
        <v>1103</v>
      </c>
      <c r="P49" s="261" t="s">
        <v>4605</v>
      </c>
      <c r="Q49" s="27" t="s">
        <v>1105</v>
      </c>
      <c r="R49" s="27" t="s">
        <v>1106</v>
      </c>
      <c r="S49" s="27" t="s">
        <v>1107</v>
      </c>
      <c r="T49" s="28" t="s">
        <v>1108</v>
      </c>
      <c r="U49" s="197" t="s">
        <v>4672</v>
      </c>
      <c r="V49" s="197" t="s">
        <v>4705</v>
      </c>
      <c r="W49" s="2" t="s">
        <v>66</v>
      </c>
      <c r="X49" s="2" t="s">
        <v>3552</v>
      </c>
      <c r="Y49" s="2" t="s">
        <v>4673</v>
      </c>
      <c r="Z49" s="3" t="s">
        <v>4674</v>
      </c>
      <c r="AA49" s="197" t="s">
        <v>4680</v>
      </c>
      <c r="AB49" s="504" t="s">
        <v>4709</v>
      </c>
      <c r="AC49" s="2" t="s">
        <v>1291</v>
      </c>
      <c r="AD49" s="2" t="s">
        <v>81</v>
      </c>
      <c r="AE49" s="2" t="s">
        <v>3081</v>
      </c>
      <c r="AF49" s="3" t="s">
        <v>3368</v>
      </c>
      <c r="AG49" s="197" t="s">
        <v>4529</v>
      </c>
      <c r="AH49" s="261" t="s">
        <v>4079</v>
      </c>
      <c r="AI49" s="7" t="s">
        <v>4530</v>
      </c>
      <c r="AJ49" s="2" t="s">
        <v>4531</v>
      </c>
      <c r="AK49" s="2" t="s">
        <v>3046</v>
      </c>
      <c r="AL49" s="3" t="s">
        <v>959</v>
      </c>
      <c r="AM49" s="197" t="s">
        <v>4676</v>
      </c>
      <c r="AN49" s="197" t="s">
        <v>3580</v>
      </c>
      <c r="AO49" s="2" t="s">
        <v>3981</v>
      </c>
      <c r="AP49" s="2" t="s">
        <v>4677</v>
      </c>
      <c r="AQ49" s="2" t="s">
        <v>3983</v>
      </c>
      <c r="AR49" s="2" t="s">
        <v>2950</v>
      </c>
      <c r="AS49" s="197" t="s">
        <v>4761</v>
      </c>
      <c r="AT49" s="504" t="s">
        <v>4603</v>
      </c>
      <c r="AU49" s="2" t="s">
        <v>1511</v>
      </c>
      <c r="AV49" s="2" t="s">
        <v>1124</v>
      </c>
      <c r="AW49" s="2" t="s">
        <v>4533</v>
      </c>
      <c r="AX49" s="3" t="s">
        <v>4534</v>
      </c>
      <c r="AY49" s="197" t="s">
        <v>4760</v>
      </c>
      <c r="AZ49" s="261" t="s">
        <v>4708</v>
      </c>
      <c r="BA49" s="27" t="s">
        <v>4541</v>
      </c>
      <c r="BB49" s="27" t="s">
        <v>4369</v>
      </c>
      <c r="BC49" s="27" t="s">
        <v>637</v>
      </c>
      <c r="BD49" s="28" t="s">
        <v>1788</v>
      </c>
      <c r="BE49" s="197" t="s">
        <v>987</v>
      </c>
      <c r="BF49" s="197" t="s">
        <v>4600</v>
      </c>
      <c r="BG49" s="2" t="s">
        <v>698</v>
      </c>
      <c r="BH49" s="2" t="s">
        <v>3955</v>
      </c>
      <c r="BI49" s="2" t="s">
        <v>989</v>
      </c>
      <c r="BJ49" s="2" t="s">
        <v>2767</v>
      </c>
      <c r="BK49" s="197"/>
      <c r="BL49" s="261"/>
      <c r="BM49" s="27"/>
      <c r="BN49" s="27"/>
      <c r="BO49" s="27"/>
      <c r="BP49" s="28"/>
      <c r="BQ49" s="197"/>
      <c r="BR49" s="197"/>
      <c r="BS49" s="2"/>
      <c r="BT49" s="2"/>
      <c r="BU49" s="2"/>
      <c r="BV49" s="3"/>
      <c r="BW49" s="197"/>
      <c r="BX49" s="197"/>
      <c r="BY49" s="2"/>
      <c r="BZ49" s="2"/>
      <c r="CA49" s="2"/>
      <c r="CB49" s="3"/>
      <c r="CC49" s="522"/>
      <c r="CD49" s="245"/>
      <c r="CE49" s="2"/>
      <c r="CF49" s="2"/>
      <c r="CG49" s="2"/>
      <c r="CH49" s="2"/>
      <c r="CI49" s="197"/>
      <c r="CJ49" s="197"/>
      <c r="CK49" s="2"/>
      <c r="CL49" s="2"/>
      <c r="CM49" s="2"/>
      <c r="CN49" s="3"/>
      <c r="CO49" s="197"/>
      <c r="CP49" s="197"/>
      <c r="CQ49" s="2"/>
      <c r="CR49" s="2"/>
      <c r="CS49" s="2"/>
      <c r="CT49" s="3"/>
      <c r="CU49" s="280"/>
      <c r="CV49" s="280"/>
      <c r="CW49" s="2"/>
      <c r="CX49" s="2"/>
      <c r="CY49" s="2"/>
      <c r="CZ49" s="2"/>
      <c r="DA49" s="280"/>
      <c r="DB49" s="280"/>
      <c r="DC49" s="2"/>
      <c r="DD49" s="2"/>
      <c r="DE49" s="2"/>
      <c r="DF49" s="2"/>
      <c r="DG49" s="280"/>
      <c r="DH49" s="280"/>
      <c r="DI49" s="2"/>
      <c r="DJ49" s="2"/>
      <c r="DK49" s="2"/>
      <c r="DL49" s="2"/>
      <c r="DM49" s="280"/>
      <c r="DN49" s="280"/>
      <c r="DO49" s="2"/>
      <c r="DP49" s="2"/>
      <c r="DQ49" s="2"/>
      <c r="DR49" s="2"/>
      <c r="DS49" s="280"/>
      <c r="DT49" s="280"/>
      <c r="DU49" s="2"/>
      <c r="DV49" s="2"/>
      <c r="DW49" s="2"/>
      <c r="DX49" s="2"/>
      <c r="DY49" s="280"/>
      <c r="DZ49" s="280"/>
      <c r="EA49" s="2"/>
      <c r="EB49" s="2"/>
      <c r="EC49" s="2"/>
      <c r="ED49" s="2"/>
      <c r="EE49" s="280"/>
      <c r="EF49" s="280"/>
      <c r="EG49" s="2"/>
      <c r="EH49" s="2"/>
      <c r="EI49" s="2"/>
      <c r="EJ49" s="2"/>
      <c r="EK49" s="280"/>
      <c r="EL49" s="280"/>
      <c r="EM49" s="2"/>
      <c r="EN49" s="2"/>
      <c r="EO49" s="2"/>
      <c r="EP49" s="2"/>
      <c r="EQ49" s="280"/>
      <c r="ER49" s="280"/>
      <c r="ES49" s="2"/>
      <c r="ET49" s="2"/>
      <c r="EU49" s="2"/>
      <c r="EV49" s="2"/>
      <c r="EW49" s="280"/>
      <c r="EX49" s="280"/>
      <c r="EY49" s="2"/>
      <c r="EZ49" s="2"/>
      <c r="FA49" s="2"/>
      <c r="FB49" s="2"/>
      <c r="FC49" s="280"/>
      <c r="FD49" s="280"/>
      <c r="FE49" s="2"/>
      <c r="FF49" s="2"/>
      <c r="FG49" s="2"/>
      <c r="FH49" s="2"/>
      <c r="FI49" s="280"/>
      <c r="FJ49" s="280"/>
      <c r="FK49" s="2"/>
      <c r="FL49" s="2"/>
      <c r="FM49" s="2"/>
      <c r="FN49" s="2"/>
      <c r="FO49" s="280"/>
      <c r="FP49" s="280"/>
      <c r="FQ49" s="2"/>
      <c r="FR49" s="2"/>
      <c r="FS49" s="2"/>
      <c r="FT49" s="2"/>
      <c r="FU49" s="280"/>
      <c r="FV49" s="280"/>
      <c r="FW49" s="2"/>
      <c r="FX49" s="2"/>
      <c r="FY49" s="2"/>
      <c r="FZ49" s="2"/>
      <c r="GA49" s="280"/>
      <c r="GB49" s="280"/>
      <c r="GC49" s="2"/>
      <c r="GD49" s="2"/>
      <c r="GE49" s="2"/>
      <c r="GF49" s="2"/>
      <c r="GG49" s="280"/>
      <c r="GH49" s="280"/>
      <c r="GI49" s="2"/>
      <c r="GJ49" s="2"/>
      <c r="GK49" s="2"/>
      <c r="GL49" s="2"/>
      <c r="GM49" s="280"/>
      <c r="GN49" s="280"/>
      <c r="GO49" s="2"/>
      <c r="GP49" s="2"/>
      <c r="GQ49" s="2"/>
      <c r="GR49" s="2"/>
      <c r="GS49" s="280"/>
      <c r="GT49" s="280"/>
      <c r="GU49" s="2"/>
      <c r="GV49" s="2"/>
      <c r="GW49" s="2"/>
      <c r="GX49" s="2"/>
      <c r="GY49" s="280"/>
      <c r="GZ49" s="280"/>
      <c r="HA49" s="2"/>
      <c r="HB49" s="2"/>
      <c r="HC49" s="2"/>
      <c r="HD49" s="2"/>
      <c r="HE49" s="280"/>
      <c r="HF49" s="280"/>
      <c r="HG49" s="2"/>
      <c r="HH49" s="2"/>
      <c r="HI49" s="2"/>
      <c r="HJ49" s="2"/>
    </row>
    <row r="50" spans="1:230" s="507" customFormat="1" ht="12.9" customHeight="1" x14ac:dyDescent="0.2">
      <c r="A50" s="496"/>
      <c r="B50" s="496"/>
      <c r="C50" s="498"/>
      <c r="D50" s="198"/>
      <c r="E50" s="4"/>
      <c r="F50" s="4"/>
      <c r="G50" s="4"/>
      <c r="H50" s="5"/>
      <c r="I50" s="498"/>
      <c r="J50" s="198"/>
      <c r="K50" s="4"/>
      <c r="L50" s="4"/>
      <c r="M50" s="4"/>
      <c r="N50" s="4"/>
      <c r="O50" s="198"/>
      <c r="P50" s="198"/>
      <c r="Q50" s="4"/>
      <c r="R50" s="4"/>
      <c r="S50" s="4"/>
      <c r="T50" s="5"/>
      <c r="U50" s="198"/>
      <c r="V50" s="198"/>
      <c r="W50" s="4"/>
      <c r="X50" s="4"/>
      <c r="Y50" s="4"/>
      <c r="Z50" s="5"/>
      <c r="AA50" s="498"/>
      <c r="AB50" s="198"/>
      <c r="AC50" s="4"/>
      <c r="AD50" s="4"/>
      <c r="AE50" s="4"/>
      <c r="AF50" s="4"/>
      <c r="AG50" s="198"/>
      <c r="AH50" s="198"/>
      <c r="AI50" s="4"/>
      <c r="AJ50" s="4"/>
      <c r="AK50" s="4"/>
      <c r="AL50" s="5"/>
      <c r="AM50" s="198"/>
      <c r="AN50" s="198"/>
      <c r="AO50" s="4"/>
      <c r="AP50" s="4"/>
      <c r="AQ50" s="4"/>
      <c r="AR50" s="5"/>
      <c r="AS50" s="498"/>
      <c r="AT50" s="198"/>
      <c r="AU50" s="4"/>
      <c r="AV50" s="4"/>
      <c r="AW50" s="4"/>
      <c r="AX50" s="4"/>
      <c r="AY50" s="198"/>
      <c r="AZ50" s="198"/>
      <c r="BA50" s="4"/>
      <c r="BB50" s="4"/>
      <c r="BC50" s="4"/>
      <c r="BD50" s="5"/>
      <c r="BE50" s="198"/>
      <c r="BF50" s="198"/>
      <c r="BG50" s="4"/>
      <c r="BH50" s="4"/>
      <c r="BI50" s="4"/>
      <c r="BJ50" s="5"/>
      <c r="BK50" s="498"/>
      <c r="BL50" s="198"/>
      <c r="BM50" s="4"/>
      <c r="BN50" s="4"/>
      <c r="BO50" s="4"/>
      <c r="BP50" s="4"/>
      <c r="BQ50" s="198"/>
      <c r="BR50" s="198"/>
      <c r="BS50" s="4"/>
      <c r="BT50" s="4"/>
      <c r="BU50" s="4"/>
      <c r="BV50" s="5"/>
      <c r="BW50" s="198"/>
      <c r="BX50" s="198"/>
      <c r="BY50" s="4"/>
      <c r="BZ50" s="4"/>
      <c r="CA50" s="4"/>
      <c r="CB50" s="5"/>
      <c r="CC50" s="498"/>
      <c r="CD50" s="198"/>
      <c r="CE50" s="4"/>
      <c r="CF50" s="4"/>
      <c r="CG50" s="4"/>
      <c r="CH50" s="5"/>
      <c r="CI50" s="498"/>
      <c r="CJ50" s="198"/>
      <c r="CK50" s="4"/>
      <c r="CL50" s="4"/>
      <c r="CM50" s="4"/>
      <c r="CN50" s="5"/>
      <c r="CO50" s="198"/>
      <c r="CP50" s="198"/>
      <c r="CQ50" s="4"/>
      <c r="CR50" s="4"/>
      <c r="CS50" s="4"/>
      <c r="CT50" s="5"/>
      <c r="CU50" s="280"/>
      <c r="CV50" s="280"/>
      <c r="CW50" s="2"/>
      <c r="CX50" s="2"/>
      <c r="CY50" s="2"/>
      <c r="CZ50" s="2"/>
      <c r="DA50" s="280"/>
      <c r="DB50" s="280"/>
      <c r="DC50" s="2"/>
      <c r="DD50" s="2"/>
      <c r="DE50" s="2"/>
      <c r="DF50" s="2"/>
      <c r="DG50" s="280"/>
      <c r="DH50" s="280"/>
      <c r="DI50" s="2"/>
      <c r="DJ50" s="2"/>
      <c r="DK50" s="2"/>
      <c r="DL50" s="2"/>
      <c r="DM50" s="280"/>
      <c r="DN50" s="280"/>
      <c r="DO50" s="2"/>
      <c r="DP50" s="2"/>
      <c r="DQ50" s="2"/>
      <c r="DR50" s="2"/>
      <c r="DS50" s="280"/>
      <c r="DT50" s="280"/>
      <c r="DU50" s="2"/>
      <c r="DV50" s="2"/>
      <c r="DW50" s="2"/>
      <c r="DX50" s="2"/>
      <c r="DY50" s="280"/>
      <c r="DZ50" s="280"/>
      <c r="EA50" s="2"/>
      <c r="EB50" s="2"/>
      <c r="EC50" s="2"/>
      <c r="ED50" s="2"/>
      <c r="EE50" s="280"/>
      <c r="EF50" s="280"/>
      <c r="EG50" s="2"/>
      <c r="EH50" s="2"/>
      <c r="EI50" s="2"/>
      <c r="EJ50" s="2"/>
      <c r="EK50" s="280"/>
      <c r="EL50" s="280"/>
      <c r="EM50" s="2"/>
      <c r="EN50" s="2"/>
      <c r="EO50" s="2"/>
      <c r="EP50" s="2"/>
      <c r="EQ50" s="280"/>
      <c r="ER50" s="280"/>
      <c r="ES50" s="2"/>
      <c r="ET50" s="2"/>
      <c r="EU50" s="2"/>
      <c r="EV50" s="2"/>
      <c r="EW50" s="280"/>
      <c r="EX50" s="280"/>
      <c r="EY50" s="2"/>
      <c r="EZ50" s="2"/>
      <c r="FA50" s="2"/>
      <c r="FB50" s="2"/>
      <c r="FC50" s="280"/>
      <c r="FD50" s="280"/>
      <c r="FE50" s="2"/>
      <c r="FF50" s="2"/>
      <c r="FG50" s="2"/>
      <c r="FH50" s="2"/>
      <c r="FI50" s="280"/>
      <c r="FJ50" s="280"/>
      <c r="FK50" s="2"/>
      <c r="FL50" s="2"/>
      <c r="FM50" s="2"/>
      <c r="FN50" s="2"/>
      <c r="FO50" s="280"/>
      <c r="FP50" s="280"/>
      <c r="FQ50" s="2"/>
      <c r="FR50" s="2"/>
      <c r="FS50" s="2"/>
      <c r="FT50" s="2"/>
      <c r="FU50" s="280"/>
      <c r="FV50" s="280"/>
      <c r="FW50" s="2"/>
      <c r="FX50" s="2"/>
      <c r="FY50" s="2"/>
      <c r="FZ50" s="2"/>
      <c r="GA50" s="280"/>
      <c r="GB50" s="280"/>
      <c r="GC50" s="2"/>
      <c r="GD50" s="2"/>
      <c r="GE50" s="2"/>
      <c r="GF50" s="2"/>
      <c r="GG50" s="280"/>
      <c r="GH50" s="280"/>
      <c r="GI50" s="2"/>
      <c r="GJ50" s="2"/>
      <c r="GK50" s="2"/>
      <c r="GL50" s="2"/>
      <c r="GM50" s="280"/>
      <c r="GN50" s="280"/>
      <c r="GO50" s="2"/>
      <c r="GP50" s="2"/>
      <c r="GQ50" s="2"/>
      <c r="GR50" s="2"/>
      <c r="GS50" s="280"/>
      <c r="GT50" s="280"/>
      <c r="GU50" s="2"/>
      <c r="GV50" s="2"/>
      <c r="GW50" s="2"/>
      <c r="GX50" s="2"/>
      <c r="GY50" s="280"/>
      <c r="GZ50" s="280"/>
      <c r="HA50" s="2"/>
      <c r="HB50" s="2"/>
      <c r="HC50" s="2"/>
      <c r="HD50" s="2"/>
      <c r="HE50" s="280"/>
      <c r="HF50" s="280"/>
      <c r="HG50" s="2"/>
      <c r="HH50" s="2"/>
      <c r="HI50" s="2"/>
      <c r="HJ50" s="2"/>
    </row>
    <row r="51" spans="1:230" s="507" customFormat="1" ht="12.9" customHeight="1" x14ac:dyDescent="0.2">
      <c r="A51" s="2"/>
      <c r="B51" s="2"/>
      <c r="C51" s="280"/>
      <c r="D51" s="280"/>
      <c r="E51" s="2"/>
      <c r="F51" s="2"/>
      <c r="G51" s="2"/>
      <c r="H51" s="2"/>
      <c r="I51" s="280"/>
      <c r="J51" s="280"/>
      <c r="K51" s="2"/>
      <c r="L51" s="2"/>
      <c r="M51" s="2"/>
      <c r="N51" s="2"/>
      <c r="O51" s="495"/>
      <c r="P51" s="280"/>
      <c r="Q51" s="2"/>
      <c r="R51" s="2"/>
      <c r="S51" s="2"/>
      <c r="T51" s="2"/>
      <c r="U51" s="280"/>
      <c r="V51" s="280"/>
      <c r="W51" s="2"/>
      <c r="X51" s="2"/>
      <c r="Y51" s="2"/>
      <c r="Z51" s="2"/>
      <c r="AA51" s="280"/>
      <c r="AB51" s="280"/>
      <c r="AC51" s="2"/>
      <c r="AD51" s="2"/>
      <c r="AE51" s="2"/>
      <c r="AF51" s="2"/>
      <c r="AG51" s="495"/>
      <c r="AH51" s="280"/>
      <c r="AI51" s="2"/>
      <c r="AJ51" s="2"/>
      <c r="AK51" s="2"/>
      <c r="AL51" s="2"/>
      <c r="AM51" s="280"/>
      <c r="AN51" s="280"/>
      <c r="AO51" s="2"/>
      <c r="AP51" s="2"/>
      <c r="AQ51" s="2"/>
      <c r="AR51" s="2"/>
      <c r="AS51" s="280"/>
      <c r="AT51" s="280"/>
      <c r="AU51" s="2"/>
      <c r="AV51" s="2"/>
      <c r="AW51" s="2"/>
      <c r="AX51" s="2"/>
      <c r="AY51" s="495"/>
      <c r="AZ51" s="280"/>
      <c r="BA51" s="2"/>
      <c r="BB51" s="2"/>
      <c r="BC51" s="2"/>
      <c r="BD51" s="2"/>
      <c r="BE51" s="280"/>
      <c r="BF51" s="280"/>
      <c r="BG51" s="2"/>
      <c r="BH51" s="2"/>
      <c r="BI51" s="2"/>
      <c r="BJ51" s="2"/>
      <c r="BK51" s="280"/>
      <c r="BL51" s="280"/>
      <c r="BM51" s="2"/>
      <c r="BN51" s="2"/>
      <c r="BO51" s="2"/>
      <c r="BP51" s="2"/>
      <c r="BQ51" s="495"/>
      <c r="BR51" s="280"/>
      <c r="BS51" s="2"/>
      <c r="BT51" s="2"/>
      <c r="BU51" s="2"/>
      <c r="BV51" s="2"/>
      <c r="BW51" s="495"/>
      <c r="BX51" s="280"/>
      <c r="BY51" s="2"/>
      <c r="BZ51" s="2"/>
      <c r="CA51" s="2"/>
      <c r="CB51" s="2"/>
      <c r="CC51" s="280"/>
      <c r="CD51" s="280"/>
      <c r="CE51" s="2"/>
      <c r="CF51" s="2"/>
      <c r="CG51" s="2"/>
      <c r="CH51" s="2"/>
      <c r="CI51" s="280"/>
      <c r="CJ51" s="280"/>
      <c r="CK51" s="2"/>
      <c r="CL51" s="2"/>
      <c r="CM51" s="2"/>
      <c r="CN51" s="2"/>
      <c r="CO51" s="495"/>
      <c r="CP51" s="280"/>
      <c r="CQ51" s="2"/>
      <c r="CR51" s="2"/>
      <c r="CS51" s="2"/>
      <c r="CT51" s="2"/>
      <c r="CU51" s="495"/>
      <c r="CV51" s="280"/>
      <c r="CW51" s="2"/>
      <c r="CX51" s="2"/>
      <c r="CY51" s="2"/>
      <c r="CZ51" s="2"/>
      <c r="DA51" s="495"/>
      <c r="DB51" s="280"/>
      <c r="DC51" s="2"/>
      <c r="DD51" s="2"/>
      <c r="DE51" s="2"/>
      <c r="DF51" s="2"/>
      <c r="DG51" s="495"/>
      <c r="DH51" s="280"/>
      <c r="DI51" s="2"/>
      <c r="DJ51" s="2"/>
      <c r="DK51" s="2"/>
      <c r="DL51" s="2"/>
      <c r="DM51" s="495"/>
      <c r="DN51" s="280"/>
      <c r="DO51" s="2"/>
      <c r="DP51" s="2"/>
      <c r="DQ51" s="2"/>
      <c r="DR51" s="2"/>
    </row>
    <row r="52" spans="1:230" s="507" customFormat="1" ht="12.9" customHeight="1" x14ac:dyDescent="0.2">
      <c r="A52" s="2"/>
      <c r="B52" s="2"/>
      <c r="C52" s="280"/>
      <c r="D52" s="280"/>
      <c r="E52" s="2"/>
      <c r="F52" s="2"/>
      <c r="G52" s="2"/>
      <c r="H52" s="2"/>
      <c r="I52" s="280"/>
      <c r="J52" s="425"/>
      <c r="K52" s="27"/>
      <c r="L52" s="27"/>
      <c r="M52" s="27"/>
      <c r="N52" s="27"/>
      <c r="O52" s="280"/>
      <c r="P52" s="280"/>
      <c r="Q52" s="2"/>
      <c r="R52" s="2"/>
      <c r="S52" s="2"/>
      <c r="T52" s="2"/>
      <c r="U52" s="280"/>
      <c r="V52" s="280"/>
      <c r="W52" s="2"/>
      <c r="X52" s="2"/>
      <c r="Y52" s="2"/>
      <c r="Z52" s="2"/>
      <c r="AA52" s="280"/>
      <c r="AB52" s="280"/>
      <c r="AC52" s="2"/>
      <c r="AD52" s="2"/>
      <c r="AE52" s="2"/>
      <c r="AF52" s="2"/>
      <c r="AG52" s="280"/>
      <c r="AH52" s="280"/>
      <c r="AI52" s="2"/>
      <c r="AJ52" s="2"/>
      <c r="AK52" s="2"/>
      <c r="AL52" s="2"/>
      <c r="AM52" s="280"/>
      <c r="AN52" s="425"/>
      <c r="AO52" s="2"/>
      <c r="AP52" s="2"/>
      <c r="AQ52" s="2"/>
      <c r="AR52" s="2"/>
      <c r="AS52" s="280"/>
      <c r="AT52" s="280"/>
      <c r="AU52" s="2"/>
      <c r="AV52" s="2"/>
      <c r="AW52" s="2"/>
      <c r="AX52" s="2"/>
      <c r="AY52" s="280"/>
      <c r="AZ52" s="425"/>
      <c r="BA52" s="27"/>
      <c r="BB52" s="27"/>
      <c r="BC52" s="27"/>
      <c r="BD52" s="27"/>
      <c r="BE52" s="280"/>
      <c r="BF52" s="280"/>
      <c r="BG52" s="2"/>
      <c r="BH52" s="2"/>
      <c r="BI52" s="2"/>
      <c r="BJ52" s="2"/>
      <c r="BK52" s="280"/>
      <c r="BL52" s="280"/>
      <c r="BM52" s="2"/>
      <c r="BN52" s="2"/>
      <c r="BO52" s="2"/>
      <c r="BP52" s="2"/>
      <c r="BQ52" s="495"/>
      <c r="BR52" s="280"/>
      <c r="BS52" s="2"/>
      <c r="BT52" s="2"/>
      <c r="BU52" s="2"/>
      <c r="BV52" s="2"/>
      <c r="BW52" s="495"/>
      <c r="BX52" s="280"/>
      <c r="BY52" s="2"/>
      <c r="BZ52" s="2"/>
      <c r="CA52" s="2"/>
      <c r="CB52" s="2"/>
      <c r="CC52" s="280"/>
      <c r="CD52" s="280"/>
      <c r="CE52" s="2"/>
      <c r="CF52" s="2"/>
      <c r="CG52" s="2"/>
      <c r="CH52" s="2"/>
      <c r="CI52" s="280"/>
      <c r="CJ52" s="280"/>
      <c r="CK52" s="2"/>
      <c r="CL52" s="2"/>
      <c r="CM52" s="2"/>
      <c r="CN52" s="2"/>
      <c r="CO52" s="495"/>
      <c r="CP52" s="280"/>
      <c r="CQ52" s="2"/>
      <c r="CR52" s="2"/>
      <c r="CS52" s="2"/>
      <c r="CT52" s="2"/>
      <c r="CU52" s="495"/>
      <c r="CV52" s="280"/>
      <c r="CW52" s="2"/>
      <c r="CX52" s="2"/>
      <c r="CY52" s="2"/>
      <c r="CZ52" s="2"/>
      <c r="DA52" s="495"/>
      <c r="DB52" s="280"/>
      <c r="DC52" s="2"/>
      <c r="DD52" s="2"/>
      <c r="DE52" s="2"/>
      <c r="DF52" s="2"/>
      <c r="DG52" s="495"/>
      <c r="DH52" s="280"/>
      <c r="DI52" s="2"/>
      <c r="DJ52" s="2"/>
      <c r="DK52" s="2"/>
      <c r="DL52" s="2"/>
      <c r="DM52" s="495"/>
      <c r="DN52" s="280"/>
      <c r="DO52" s="2"/>
      <c r="DP52" s="2"/>
      <c r="DQ52" s="2"/>
      <c r="DR52" s="2"/>
    </row>
    <row r="53" spans="1:230" s="507" customFormat="1" ht="12.9" customHeight="1" x14ac:dyDescent="0.2">
      <c r="A53" s="2"/>
      <c r="B53" s="2"/>
      <c r="C53" s="280"/>
      <c r="D53" s="522"/>
      <c r="E53" s="2"/>
      <c r="F53" s="2"/>
      <c r="G53" s="2"/>
      <c r="H53" s="2"/>
      <c r="I53" s="280"/>
      <c r="J53" s="280"/>
      <c r="K53" s="2"/>
      <c r="L53" s="2"/>
      <c r="M53" s="2"/>
      <c r="N53" s="2"/>
      <c r="AS53" s="280"/>
      <c r="AT53" s="280"/>
      <c r="AU53" s="2"/>
      <c r="AV53" s="2"/>
      <c r="AW53" s="2"/>
      <c r="AX53" s="2"/>
      <c r="BW53" s="280"/>
      <c r="BX53" s="280"/>
      <c r="BY53" s="2"/>
      <c r="BZ53" s="2"/>
      <c r="CA53" s="2"/>
      <c r="CB53" s="2"/>
      <c r="CC53" s="280"/>
      <c r="CD53" s="280"/>
      <c r="CE53" s="2"/>
      <c r="CF53" s="2"/>
      <c r="CG53" s="2"/>
      <c r="CH53" s="2"/>
      <c r="CI53" s="280"/>
      <c r="CJ53" s="280"/>
      <c r="CK53" s="2"/>
      <c r="CL53" s="2"/>
      <c r="CM53" s="2"/>
      <c r="CN53" s="2"/>
      <c r="CO53" s="280"/>
      <c r="CP53" s="280"/>
      <c r="CQ53" s="2"/>
      <c r="CR53" s="2"/>
      <c r="CS53" s="2"/>
      <c r="CT53" s="2"/>
      <c r="CU53" s="280"/>
      <c r="CV53" s="280"/>
      <c r="CW53" s="2"/>
      <c r="CX53" s="2"/>
      <c r="CY53" s="2"/>
      <c r="CZ53" s="2"/>
      <c r="DA53" s="280"/>
      <c r="DB53" s="280"/>
      <c r="DC53" s="2"/>
      <c r="DD53" s="2"/>
      <c r="DE53" s="2"/>
      <c r="DF53" s="2"/>
      <c r="DG53" s="280"/>
      <c r="DH53" s="280"/>
      <c r="DI53" s="2"/>
      <c r="DJ53" s="2"/>
      <c r="DK53" s="2"/>
      <c r="DL53" s="2"/>
      <c r="DM53" s="280"/>
      <c r="DN53" s="280"/>
      <c r="DO53" s="2"/>
      <c r="DP53" s="2"/>
      <c r="DQ53" s="2"/>
      <c r="DR53" s="2"/>
      <c r="DS53" s="280"/>
      <c r="DT53" s="280"/>
      <c r="DU53" s="2"/>
      <c r="DV53" s="2"/>
      <c r="DW53" s="2"/>
      <c r="DX53" s="2"/>
      <c r="DY53" s="280"/>
      <c r="DZ53" s="280"/>
      <c r="EA53" s="2"/>
      <c r="EB53" s="2"/>
      <c r="EC53" s="2"/>
      <c r="ED53" s="2"/>
      <c r="EE53" s="280"/>
      <c r="EF53" s="280"/>
      <c r="EG53" s="2"/>
      <c r="EH53" s="2"/>
      <c r="EI53" s="2"/>
      <c r="EJ53" s="2"/>
      <c r="EK53" s="280"/>
      <c r="EL53" s="280"/>
      <c r="EM53" s="2"/>
      <c r="EN53" s="2"/>
      <c r="EO53" s="2"/>
      <c r="EP53" s="2"/>
      <c r="EQ53" s="280"/>
      <c r="ER53" s="280"/>
      <c r="ES53" s="2"/>
      <c r="ET53" s="2"/>
      <c r="EU53" s="2"/>
      <c r="EV53" s="2"/>
      <c r="EW53" s="280"/>
      <c r="EX53" s="280"/>
      <c r="EY53" s="2"/>
      <c r="EZ53" s="2"/>
      <c r="FA53" s="2"/>
      <c r="FB53" s="2"/>
      <c r="FC53" s="280"/>
      <c r="FD53" s="280"/>
      <c r="FE53" s="2"/>
      <c r="FF53" s="2"/>
      <c r="FG53" s="2"/>
      <c r="FH53" s="2"/>
      <c r="FI53" s="280"/>
      <c r="FJ53" s="280"/>
      <c r="FK53" s="2"/>
      <c r="FL53" s="2"/>
      <c r="FM53" s="2"/>
      <c r="FN53" s="2"/>
      <c r="FO53" s="280"/>
      <c r="FP53" s="280"/>
      <c r="FQ53" s="2"/>
      <c r="FR53" s="2"/>
      <c r="FS53" s="2"/>
      <c r="FT53" s="2"/>
      <c r="FU53" s="280"/>
      <c r="FV53" s="280"/>
      <c r="FW53" s="2"/>
      <c r="FX53" s="2"/>
      <c r="FY53" s="2"/>
      <c r="FZ53" s="2"/>
      <c r="GA53" s="280"/>
      <c r="GB53" s="280"/>
      <c r="GC53" s="2"/>
      <c r="GD53" s="2"/>
      <c r="GE53" s="2"/>
      <c r="GF53" s="2"/>
      <c r="GG53" s="280"/>
      <c r="GH53" s="280"/>
      <c r="GI53" s="2"/>
      <c r="GJ53" s="2"/>
      <c r="GK53" s="2"/>
      <c r="GL53" s="2"/>
      <c r="GM53" s="280"/>
      <c r="GN53" s="280"/>
      <c r="GO53" s="2"/>
      <c r="GP53" s="2"/>
      <c r="GQ53" s="2"/>
      <c r="GR53" s="2"/>
      <c r="GS53" s="280"/>
      <c r="GT53" s="280"/>
      <c r="GU53" s="2"/>
      <c r="GV53" s="2"/>
      <c r="GW53" s="2"/>
      <c r="GX53" s="2"/>
      <c r="GY53" s="280"/>
      <c r="GZ53" s="280"/>
      <c r="HA53" s="2"/>
      <c r="HB53" s="2"/>
      <c r="HC53" s="2"/>
      <c r="HD53" s="2"/>
      <c r="HE53" s="280"/>
      <c r="HF53" s="280"/>
      <c r="HG53" s="2"/>
      <c r="HH53" s="2"/>
      <c r="HI53" s="2"/>
      <c r="HJ53" s="2"/>
      <c r="HK53" s="280"/>
      <c r="HL53" s="280"/>
      <c r="HM53" s="2"/>
      <c r="HN53" s="2"/>
      <c r="HO53" s="2"/>
      <c r="HP53" s="2"/>
      <c r="HQ53" s="280"/>
      <c r="HR53" s="280"/>
      <c r="HS53" s="2"/>
      <c r="HT53" s="2"/>
      <c r="HU53" s="2"/>
      <c r="HV53" s="2"/>
    </row>
    <row r="54" spans="1:230" s="507" customFormat="1" ht="12.9" customHeight="1" x14ac:dyDescent="0.2">
      <c r="A54" s="2"/>
      <c r="B54" s="2"/>
      <c r="C54" s="280"/>
      <c r="D54" s="280"/>
      <c r="E54" s="2"/>
      <c r="F54" s="2"/>
      <c r="G54" s="2"/>
      <c r="H54" s="2"/>
      <c r="I54" s="280"/>
      <c r="J54" s="280"/>
      <c r="K54" s="2"/>
      <c r="L54" s="2"/>
      <c r="M54" s="2"/>
      <c r="N54" s="2"/>
      <c r="O54" s="280"/>
      <c r="P54" s="280"/>
      <c r="Q54" s="2"/>
      <c r="R54" s="2"/>
      <c r="S54" s="2"/>
      <c r="T54" s="2"/>
      <c r="U54" s="280"/>
      <c r="V54" s="280"/>
      <c r="W54" s="2"/>
      <c r="X54" s="2"/>
      <c r="Y54" s="2"/>
      <c r="Z54" s="2"/>
      <c r="AA54" s="280"/>
      <c r="AB54" s="280"/>
      <c r="AC54" s="2"/>
      <c r="AD54" s="2"/>
      <c r="AE54" s="2"/>
      <c r="AF54" s="2"/>
      <c r="AG54" s="280"/>
      <c r="AH54" s="280"/>
      <c r="AI54" s="2"/>
      <c r="AJ54" s="2"/>
      <c r="AK54" s="2"/>
      <c r="AL54" s="2"/>
      <c r="AM54" s="280"/>
      <c r="AN54" s="280"/>
      <c r="AO54" s="2"/>
      <c r="AP54" s="2"/>
      <c r="AQ54" s="2"/>
      <c r="AR54" s="2"/>
      <c r="AS54" s="280"/>
      <c r="AT54" s="280"/>
      <c r="AU54" s="2"/>
      <c r="AV54" s="2"/>
      <c r="AW54" s="2"/>
      <c r="AX54" s="2"/>
      <c r="AY54" s="280"/>
      <c r="AZ54" s="280"/>
      <c r="BA54" s="2"/>
      <c r="BB54" s="2"/>
      <c r="BC54" s="2"/>
      <c r="BD54" s="2"/>
      <c r="BE54" s="280"/>
      <c r="BF54" s="280"/>
      <c r="BG54" s="2"/>
      <c r="BH54" s="2"/>
      <c r="BI54" s="2"/>
      <c r="BJ54" s="2"/>
      <c r="BK54" s="280"/>
      <c r="BL54" s="280"/>
      <c r="BM54" s="2"/>
      <c r="BN54" s="2"/>
      <c r="BO54" s="2"/>
      <c r="BP54" s="2"/>
      <c r="BQ54" s="280"/>
      <c r="BR54" s="280"/>
      <c r="BS54" s="2"/>
      <c r="BT54" s="2"/>
      <c r="BU54" s="2"/>
      <c r="BV54" s="2"/>
      <c r="BW54" s="280"/>
      <c r="BX54" s="280"/>
      <c r="BY54" s="2"/>
      <c r="BZ54" s="2"/>
      <c r="CA54" s="2"/>
      <c r="CB54" s="2"/>
      <c r="CC54" s="280"/>
      <c r="CD54" s="280"/>
      <c r="CE54" s="2"/>
      <c r="CF54" s="2"/>
      <c r="CG54" s="2"/>
      <c r="CH54" s="2"/>
      <c r="CI54" s="280"/>
      <c r="CJ54" s="280"/>
      <c r="CK54" s="2"/>
      <c r="CL54" s="2"/>
      <c r="CM54" s="2"/>
      <c r="CN54" s="2"/>
      <c r="CO54" s="280"/>
      <c r="CP54" s="280"/>
      <c r="CQ54" s="2"/>
      <c r="CR54" s="2"/>
      <c r="CS54" s="2"/>
      <c r="CT54" s="2"/>
      <c r="CU54" s="280"/>
      <c r="CV54" s="280"/>
      <c r="CW54" s="2"/>
      <c r="CX54" s="2"/>
      <c r="CY54" s="2"/>
      <c r="CZ54" s="2"/>
      <c r="DA54" s="280"/>
      <c r="DB54" s="280"/>
      <c r="DC54" s="2"/>
      <c r="DD54" s="2"/>
      <c r="DE54" s="2"/>
      <c r="DF54" s="2"/>
      <c r="DG54" s="280"/>
      <c r="DH54" s="280"/>
      <c r="DI54" s="2"/>
      <c r="DJ54" s="2"/>
      <c r="DK54" s="2"/>
      <c r="DL54" s="2"/>
      <c r="DM54" s="280"/>
      <c r="DN54" s="280"/>
      <c r="DO54" s="2"/>
      <c r="DP54" s="2"/>
      <c r="DQ54" s="2"/>
      <c r="DR54" s="2"/>
    </row>
    <row r="55" spans="1:230" s="507" customFormat="1" ht="12.9" customHeight="1" x14ac:dyDescent="0.2">
      <c r="A55" s="2"/>
      <c r="B55" s="2"/>
      <c r="C55" s="280"/>
      <c r="D55" s="280"/>
      <c r="E55" s="2"/>
      <c r="F55" s="2"/>
      <c r="G55" s="2"/>
      <c r="H55" s="2"/>
      <c r="I55" s="280"/>
      <c r="J55" s="280"/>
      <c r="K55" s="2"/>
      <c r="L55" s="2"/>
      <c r="M55" s="2"/>
      <c r="N55" s="2"/>
      <c r="O55" s="280"/>
      <c r="P55" s="280"/>
      <c r="Q55" s="2"/>
      <c r="R55" s="2"/>
      <c r="S55" s="2"/>
      <c r="T55" s="2"/>
      <c r="U55" s="280"/>
      <c r="V55" s="280"/>
      <c r="W55" s="2"/>
      <c r="X55" s="2"/>
      <c r="Y55" s="2"/>
      <c r="Z55" s="2"/>
      <c r="AA55" s="280"/>
      <c r="AB55" s="280"/>
      <c r="AC55" s="2"/>
      <c r="AD55" s="2"/>
      <c r="AE55" s="2"/>
      <c r="AF55" s="2"/>
      <c r="AG55" s="280"/>
      <c r="AH55" s="280"/>
      <c r="AI55" s="2"/>
      <c r="AJ55" s="2"/>
      <c r="AK55" s="2"/>
      <c r="AL55" s="2"/>
      <c r="AM55" s="280"/>
      <c r="AN55" s="280"/>
      <c r="AO55" s="2"/>
      <c r="AP55" s="2"/>
      <c r="AQ55" s="2"/>
      <c r="AR55" s="2"/>
      <c r="AS55" s="280"/>
      <c r="AT55" s="280"/>
      <c r="AU55" s="2"/>
      <c r="AV55" s="2"/>
      <c r="AW55" s="2"/>
      <c r="AX55" s="2"/>
      <c r="AY55" s="280"/>
      <c r="AZ55" s="280"/>
      <c r="BA55" s="2"/>
      <c r="BB55" s="2"/>
      <c r="BC55" s="2"/>
      <c r="BD55" s="2"/>
      <c r="BE55" s="280"/>
      <c r="BF55" s="280"/>
      <c r="BG55" s="2"/>
      <c r="BH55" s="2"/>
      <c r="BI55" s="2"/>
      <c r="BJ55" s="2"/>
      <c r="BK55" s="280"/>
      <c r="BL55" s="280"/>
      <c r="BM55" s="2"/>
      <c r="BN55" s="2"/>
      <c r="BO55" s="2"/>
      <c r="BP55" s="2"/>
      <c r="BQ55" s="280"/>
      <c r="BR55" s="280"/>
      <c r="BS55" s="2"/>
      <c r="BT55" s="2"/>
      <c r="BU55" s="2"/>
      <c r="BV55" s="2"/>
      <c r="BW55" s="280"/>
      <c r="BX55" s="280"/>
      <c r="BY55" s="2"/>
      <c r="BZ55" s="2"/>
      <c r="CA55" s="2"/>
      <c r="CB55" s="2"/>
      <c r="CC55" s="280"/>
      <c r="CD55" s="280"/>
      <c r="CE55" s="2"/>
      <c r="CF55" s="2"/>
      <c r="CG55" s="2"/>
      <c r="CH55" s="2"/>
      <c r="CI55" s="280"/>
      <c r="CJ55" s="280"/>
      <c r="CK55" s="2"/>
      <c r="CL55" s="2"/>
      <c r="CM55" s="2"/>
      <c r="CN55" s="2"/>
      <c r="CO55" s="280"/>
      <c r="CP55" s="280"/>
      <c r="CQ55" s="2"/>
      <c r="CR55" s="2"/>
      <c r="CS55" s="2"/>
      <c r="CT55" s="2"/>
      <c r="CU55" s="280"/>
      <c r="CV55" s="280"/>
      <c r="CW55" s="2"/>
      <c r="CX55" s="2"/>
      <c r="CY55" s="2"/>
      <c r="CZ55" s="2"/>
      <c r="DA55" s="280"/>
      <c r="DB55" s="280"/>
      <c r="DC55" s="2"/>
      <c r="DD55" s="2"/>
      <c r="DE55" s="2"/>
      <c r="DF55" s="2"/>
      <c r="DG55" s="280"/>
      <c r="DH55" s="280"/>
      <c r="DI55" s="2"/>
      <c r="DJ55" s="2"/>
      <c r="DK55" s="2"/>
      <c r="DL55" s="2"/>
      <c r="DM55" s="280"/>
      <c r="DN55" s="280"/>
      <c r="DO55" s="2"/>
      <c r="DP55" s="2"/>
      <c r="DQ55" s="2"/>
      <c r="DR55" s="2"/>
    </row>
    <row r="56" spans="1:230" s="507" customFormat="1" ht="12.9" customHeight="1" x14ac:dyDescent="0.2">
      <c r="A56" s="2"/>
      <c r="B56" s="2"/>
      <c r="C56" s="280"/>
      <c r="D56" s="280"/>
      <c r="E56" s="2"/>
      <c r="F56" s="2"/>
      <c r="G56" s="2"/>
      <c r="H56" s="2"/>
      <c r="I56" s="280"/>
      <c r="J56" s="280"/>
      <c r="K56" s="2"/>
      <c r="L56" s="2"/>
      <c r="M56" s="2"/>
      <c r="N56" s="2"/>
      <c r="O56" s="280"/>
      <c r="P56" s="280"/>
      <c r="Q56" s="2"/>
      <c r="R56" s="2"/>
      <c r="S56" s="2"/>
      <c r="T56" s="2"/>
      <c r="U56" s="280"/>
      <c r="V56" s="280"/>
      <c r="W56" s="2"/>
      <c r="X56" s="2"/>
      <c r="Y56" s="2"/>
      <c r="Z56" s="2"/>
      <c r="AA56" s="280"/>
      <c r="AB56" s="280"/>
      <c r="AC56" s="2"/>
      <c r="AD56" s="2"/>
      <c r="AE56" s="2"/>
      <c r="AF56" s="2"/>
      <c r="AG56" s="280"/>
      <c r="AH56" s="280"/>
      <c r="AI56" s="2"/>
      <c r="AJ56" s="2"/>
      <c r="AK56" s="2"/>
      <c r="AL56" s="2"/>
      <c r="AM56" s="280"/>
      <c r="AN56" s="280"/>
      <c r="AO56" s="2"/>
      <c r="AP56" s="2"/>
      <c r="AQ56" s="2"/>
      <c r="AR56" s="2"/>
      <c r="AS56" s="280"/>
      <c r="AT56" s="280"/>
      <c r="AU56" s="2"/>
      <c r="AV56" s="2"/>
      <c r="AW56" s="2"/>
      <c r="AX56" s="2"/>
      <c r="AY56" s="280"/>
      <c r="AZ56" s="280"/>
      <c r="BA56" s="2"/>
      <c r="BB56" s="2"/>
      <c r="BC56" s="2"/>
      <c r="BD56" s="2"/>
      <c r="BE56" s="280"/>
      <c r="BF56" s="280"/>
      <c r="BG56" s="2"/>
      <c r="BH56" s="2"/>
      <c r="BI56" s="2"/>
      <c r="BJ56" s="2"/>
      <c r="BK56" s="280"/>
      <c r="BL56" s="280"/>
      <c r="BM56" s="2"/>
      <c r="BN56" s="2"/>
      <c r="BO56" s="2"/>
      <c r="BP56" s="2"/>
      <c r="BQ56" s="280"/>
      <c r="BR56" s="280"/>
      <c r="BS56" s="2"/>
      <c r="BT56" s="2"/>
      <c r="BU56" s="2"/>
      <c r="BV56" s="2"/>
      <c r="BW56" s="280"/>
      <c r="BX56" s="280"/>
      <c r="BY56" s="2"/>
      <c r="BZ56" s="2"/>
      <c r="CA56" s="2"/>
      <c r="CB56" s="2"/>
      <c r="CC56" s="280"/>
      <c r="CD56" s="280"/>
      <c r="CE56" s="2"/>
      <c r="CF56" s="2"/>
      <c r="CG56" s="2"/>
      <c r="CH56" s="2"/>
      <c r="CI56" s="280"/>
      <c r="CJ56" s="280"/>
      <c r="CK56" s="2"/>
      <c r="CL56" s="2"/>
      <c r="CM56" s="2"/>
      <c r="CN56" s="2"/>
      <c r="CO56" s="280"/>
      <c r="CP56" s="280"/>
      <c r="CQ56" s="2"/>
      <c r="CR56" s="2"/>
      <c r="CS56" s="2"/>
      <c r="CT56" s="2"/>
      <c r="CU56" s="280"/>
      <c r="CV56" s="280"/>
      <c r="CW56" s="2"/>
      <c r="CX56" s="2"/>
      <c r="CY56" s="2"/>
      <c r="CZ56" s="2"/>
      <c r="DA56" s="280"/>
      <c r="DB56" s="280"/>
      <c r="DC56" s="2"/>
      <c r="DD56" s="2"/>
      <c r="DE56" s="2"/>
      <c r="DF56" s="2"/>
      <c r="DG56" s="280"/>
      <c r="DH56" s="280"/>
      <c r="DI56" s="2"/>
      <c r="DJ56" s="2"/>
      <c r="DK56" s="2"/>
      <c r="DL56" s="2"/>
      <c r="DM56" s="280"/>
      <c r="DN56" s="280"/>
      <c r="DO56" s="2"/>
      <c r="DP56" s="2"/>
      <c r="DQ56" s="2"/>
      <c r="DR56" s="2"/>
    </row>
    <row r="57" spans="1:230" s="507" customFormat="1" ht="12.9" customHeight="1" x14ac:dyDescent="0.2">
      <c r="A57" s="2"/>
      <c r="B57" s="2"/>
      <c r="C57" s="280"/>
      <c r="D57" s="280"/>
      <c r="E57" s="2"/>
      <c r="F57" s="2"/>
      <c r="G57" s="2"/>
      <c r="H57" s="2"/>
      <c r="I57" s="280"/>
      <c r="J57" s="280"/>
      <c r="K57" s="2"/>
      <c r="L57" s="2"/>
      <c r="M57" s="2"/>
      <c r="N57" s="2"/>
      <c r="O57" s="280"/>
      <c r="P57" s="280"/>
      <c r="Q57" s="2"/>
      <c r="R57" s="2"/>
      <c r="S57" s="2"/>
      <c r="T57" s="2"/>
      <c r="U57" s="280"/>
      <c r="V57" s="280"/>
      <c r="W57" s="2"/>
      <c r="X57" s="2"/>
      <c r="Y57" s="2"/>
      <c r="Z57" s="2"/>
      <c r="AA57" s="280"/>
      <c r="AB57" s="280"/>
      <c r="AC57" s="2"/>
      <c r="AD57" s="2"/>
      <c r="AE57" s="2"/>
      <c r="AF57" s="2"/>
      <c r="AG57" s="280"/>
      <c r="AH57" s="280"/>
      <c r="AI57" s="2"/>
      <c r="AJ57" s="2"/>
      <c r="AK57" s="2"/>
      <c r="AL57" s="2"/>
      <c r="AM57" s="280"/>
      <c r="AN57" s="280"/>
      <c r="AO57" s="2"/>
      <c r="AP57" s="2"/>
      <c r="AQ57" s="2"/>
      <c r="AR57" s="2"/>
      <c r="AS57" s="280"/>
      <c r="AT57" s="280"/>
      <c r="AU57" s="2"/>
      <c r="AV57" s="2"/>
      <c r="AW57" s="2"/>
      <c r="AX57" s="2"/>
      <c r="AY57" s="280"/>
      <c r="AZ57" s="280"/>
      <c r="BA57" s="2"/>
      <c r="BB57" s="2"/>
      <c r="BC57" s="2"/>
      <c r="BD57" s="2"/>
      <c r="BE57" s="280"/>
      <c r="BF57" s="280"/>
      <c r="BG57" s="2"/>
      <c r="BH57" s="2"/>
      <c r="BI57" s="2"/>
      <c r="BJ57" s="2"/>
      <c r="BK57" s="280"/>
      <c r="BL57" s="280"/>
      <c r="BM57" s="2"/>
      <c r="BN57" s="2"/>
      <c r="BO57" s="2"/>
      <c r="BP57" s="2"/>
      <c r="BQ57" s="280"/>
      <c r="BR57" s="280"/>
      <c r="BS57" s="2"/>
      <c r="BT57" s="2"/>
      <c r="BU57" s="2"/>
      <c r="BV57" s="2"/>
      <c r="BW57" s="280"/>
      <c r="BX57" s="280"/>
      <c r="BY57" s="2"/>
      <c r="BZ57" s="2"/>
      <c r="CA57" s="2"/>
      <c r="CB57" s="2"/>
      <c r="CC57" s="280"/>
      <c r="CD57" s="280"/>
      <c r="CE57" s="2"/>
      <c r="CF57" s="2"/>
      <c r="CG57" s="2"/>
      <c r="CH57" s="2"/>
      <c r="CI57" s="280"/>
      <c r="CJ57" s="280"/>
      <c r="CK57" s="2"/>
      <c r="CL57" s="2"/>
      <c r="CM57" s="2"/>
      <c r="CN57" s="2"/>
      <c r="CO57" s="280"/>
      <c r="CP57" s="280"/>
      <c r="CQ57" s="2"/>
      <c r="CR57" s="2"/>
      <c r="CS57" s="2"/>
      <c r="CT57" s="2"/>
      <c r="CU57" s="280"/>
      <c r="CV57" s="280"/>
      <c r="CW57" s="2"/>
      <c r="CX57" s="2"/>
      <c r="CY57" s="2"/>
      <c r="CZ57" s="2"/>
      <c r="DA57" s="280"/>
      <c r="DB57" s="280"/>
      <c r="DC57" s="2"/>
      <c r="DD57" s="2"/>
      <c r="DE57" s="2"/>
      <c r="DF57" s="2"/>
      <c r="DG57" s="280"/>
      <c r="DH57" s="280"/>
      <c r="DI57" s="2"/>
      <c r="DJ57" s="2"/>
      <c r="DK57" s="2"/>
      <c r="DL57" s="2"/>
      <c r="DM57" s="280"/>
      <c r="DN57" s="280"/>
      <c r="DO57" s="2"/>
      <c r="DP57" s="2"/>
      <c r="DQ57" s="2"/>
      <c r="DR57" s="2"/>
    </row>
    <row r="58" spans="1:230" s="507" customFormat="1" ht="12.9" customHeight="1" x14ac:dyDescent="0.2">
      <c r="A58" s="2"/>
      <c r="B58" s="2"/>
      <c r="C58" s="280"/>
      <c r="D58" s="280"/>
      <c r="E58" s="2"/>
      <c r="F58" s="2"/>
      <c r="G58" s="2"/>
      <c r="H58" s="2"/>
      <c r="I58" s="280"/>
      <c r="J58" s="280"/>
      <c r="K58" s="2"/>
      <c r="L58" s="2"/>
      <c r="M58" s="2"/>
      <c r="N58" s="2"/>
      <c r="O58" s="280"/>
      <c r="P58" s="280"/>
      <c r="Q58" s="2"/>
      <c r="R58" s="2"/>
      <c r="S58" s="2"/>
      <c r="T58" s="2"/>
      <c r="U58" s="280"/>
      <c r="V58" s="280"/>
      <c r="W58" s="2"/>
      <c r="X58" s="2"/>
      <c r="Y58" s="2"/>
      <c r="Z58" s="2"/>
      <c r="AA58" s="280"/>
      <c r="AB58" s="280"/>
      <c r="AC58" s="2"/>
      <c r="AD58" s="2"/>
      <c r="AE58" s="2"/>
      <c r="AF58" s="2"/>
      <c r="AG58" s="280"/>
      <c r="AH58" s="280"/>
      <c r="AI58" s="2"/>
      <c r="AJ58" s="2"/>
      <c r="AK58" s="2"/>
      <c r="AL58" s="2"/>
      <c r="AM58" s="280"/>
      <c r="AN58" s="280"/>
      <c r="AO58" s="2"/>
      <c r="AP58" s="2"/>
      <c r="AQ58" s="2"/>
      <c r="AR58" s="2"/>
      <c r="AS58" s="280"/>
      <c r="AT58" s="280"/>
      <c r="AU58" s="2"/>
      <c r="AV58" s="2"/>
      <c r="AW58" s="2"/>
      <c r="AX58" s="2"/>
      <c r="AY58" s="280"/>
      <c r="AZ58" s="280"/>
      <c r="BA58" s="2"/>
      <c r="BB58" s="2"/>
      <c r="BC58" s="2"/>
      <c r="BD58" s="2"/>
      <c r="BE58" s="280"/>
      <c r="BF58" s="280"/>
      <c r="BG58" s="2"/>
      <c r="BH58" s="2"/>
      <c r="BI58" s="2"/>
      <c r="BJ58" s="2"/>
      <c r="BK58" s="280"/>
      <c r="BL58" s="280"/>
      <c r="BM58" s="2"/>
      <c r="BN58" s="2"/>
      <c r="BO58" s="2"/>
      <c r="BP58" s="2"/>
      <c r="BQ58" s="280"/>
      <c r="BR58" s="280"/>
      <c r="BS58" s="2"/>
      <c r="BT58" s="2"/>
      <c r="BU58" s="2"/>
      <c r="BV58" s="2"/>
      <c r="BW58" s="280"/>
      <c r="BX58" s="280"/>
      <c r="BY58" s="2"/>
      <c r="BZ58" s="2"/>
      <c r="CA58" s="2"/>
      <c r="CB58" s="2"/>
      <c r="CC58" s="280"/>
      <c r="CD58" s="280"/>
      <c r="CE58" s="2"/>
      <c r="CF58" s="2"/>
      <c r="CG58" s="2"/>
      <c r="CH58" s="2"/>
      <c r="CI58" s="280"/>
      <c r="CJ58" s="280"/>
      <c r="CK58" s="2"/>
      <c r="CL58" s="2"/>
      <c r="CM58" s="2"/>
      <c r="CN58" s="2"/>
      <c r="CO58" s="280"/>
      <c r="CP58" s="280"/>
      <c r="CQ58" s="2"/>
      <c r="CR58" s="2"/>
      <c r="CS58" s="2"/>
      <c r="CT58" s="2"/>
      <c r="CU58" s="280"/>
      <c r="CV58" s="280"/>
      <c r="CW58" s="2"/>
      <c r="CX58" s="2"/>
      <c r="CY58" s="2"/>
      <c r="CZ58" s="2"/>
      <c r="DA58" s="280"/>
      <c r="DB58" s="280"/>
      <c r="DC58" s="2"/>
      <c r="DD58" s="2"/>
      <c r="DE58" s="2"/>
      <c r="DF58" s="2"/>
      <c r="DG58" s="280"/>
      <c r="DH58" s="280"/>
      <c r="DI58" s="2"/>
      <c r="DJ58" s="2"/>
      <c r="DK58" s="2"/>
      <c r="DL58" s="2"/>
      <c r="DM58" s="280"/>
      <c r="DN58" s="280"/>
      <c r="DO58" s="2"/>
      <c r="DP58" s="2"/>
      <c r="DQ58" s="2"/>
      <c r="DR58" s="2"/>
    </row>
    <row r="59" spans="1:230" s="507" customFormat="1" ht="12.9" customHeight="1" x14ac:dyDescent="0.2">
      <c r="A59" s="2"/>
      <c r="B59" s="2"/>
      <c r="C59" s="280"/>
      <c r="D59" s="280"/>
      <c r="E59" s="2"/>
      <c r="F59" s="2"/>
      <c r="G59" s="2"/>
      <c r="H59" s="2"/>
      <c r="I59" s="280"/>
      <c r="J59" s="280"/>
      <c r="K59" s="2"/>
      <c r="L59" s="2"/>
      <c r="M59" s="2"/>
      <c r="N59" s="2"/>
      <c r="O59" s="280"/>
      <c r="P59" s="280"/>
      <c r="Q59" s="2"/>
      <c r="R59" s="2"/>
      <c r="S59" s="2"/>
      <c r="T59" s="2"/>
      <c r="U59" s="280"/>
      <c r="V59" s="280"/>
      <c r="W59" s="2"/>
      <c r="X59" s="2"/>
      <c r="Y59" s="2"/>
      <c r="Z59" s="2"/>
      <c r="AA59" s="280"/>
      <c r="AB59" s="280"/>
      <c r="AC59" s="2"/>
      <c r="AD59" s="2"/>
      <c r="AE59" s="2"/>
      <c r="AF59" s="2"/>
      <c r="AG59" s="280"/>
      <c r="AH59" s="280"/>
      <c r="AI59" s="2"/>
      <c r="AJ59" s="2"/>
      <c r="AK59" s="2"/>
      <c r="AL59" s="2"/>
      <c r="AM59" s="280"/>
      <c r="AN59" s="280"/>
      <c r="AO59" s="2"/>
      <c r="AP59" s="2"/>
      <c r="AQ59" s="2"/>
      <c r="AR59" s="2"/>
      <c r="AS59" s="280"/>
      <c r="AT59" s="280"/>
      <c r="AU59" s="2"/>
      <c r="AV59" s="2"/>
      <c r="AW59" s="2"/>
      <c r="AX59" s="2"/>
      <c r="AY59" s="280"/>
      <c r="AZ59" s="280"/>
      <c r="BA59" s="2"/>
      <c r="BB59" s="2"/>
      <c r="BC59" s="2"/>
      <c r="BD59" s="2"/>
      <c r="BE59" s="280"/>
      <c r="BF59" s="280"/>
      <c r="BG59" s="2"/>
      <c r="BH59" s="2"/>
      <c r="BI59" s="2"/>
      <c r="BJ59" s="2"/>
      <c r="BK59" s="280"/>
      <c r="BL59" s="280"/>
      <c r="BM59" s="2"/>
      <c r="BN59" s="2"/>
      <c r="BO59" s="2"/>
      <c r="BP59" s="2"/>
      <c r="BQ59" s="280"/>
      <c r="BR59" s="280"/>
      <c r="BS59" s="2"/>
      <c r="BT59" s="2"/>
      <c r="BU59" s="2"/>
      <c r="BV59" s="2"/>
      <c r="BW59" s="280"/>
      <c r="BX59" s="280"/>
      <c r="BY59" s="2"/>
      <c r="BZ59" s="2"/>
      <c r="CA59" s="2"/>
      <c r="CB59" s="2"/>
      <c r="CC59" s="280"/>
      <c r="CD59" s="280"/>
      <c r="CE59" s="2"/>
      <c r="CF59" s="2"/>
      <c r="CG59" s="2"/>
      <c r="CH59" s="2"/>
      <c r="CI59" s="280"/>
      <c r="CJ59" s="280"/>
      <c r="CK59" s="2"/>
      <c r="CL59" s="2"/>
      <c r="CM59" s="2"/>
      <c r="CN59" s="2"/>
      <c r="CO59" s="280"/>
      <c r="CP59" s="280"/>
      <c r="CQ59" s="2"/>
      <c r="CR59" s="2"/>
      <c r="CS59" s="2"/>
      <c r="CT59" s="2"/>
      <c r="CU59" s="280"/>
      <c r="CV59" s="280"/>
      <c r="CW59" s="2"/>
      <c r="CX59" s="2"/>
      <c r="CY59" s="2"/>
      <c r="CZ59" s="2"/>
      <c r="DA59" s="280"/>
      <c r="DB59" s="280"/>
      <c r="DC59" s="2"/>
      <c r="DD59" s="2"/>
      <c r="DE59" s="2"/>
      <c r="DF59" s="2"/>
      <c r="DG59" s="280"/>
      <c r="DH59" s="280"/>
      <c r="DI59" s="2"/>
      <c r="DJ59" s="2"/>
      <c r="DK59" s="2"/>
      <c r="DL59" s="2"/>
      <c r="DM59" s="280"/>
      <c r="DN59" s="280"/>
      <c r="DO59" s="2"/>
      <c r="DP59" s="2"/>
      <c r="DQ59" s="2"/>
      <c r="DR59" s="2"/>
    </row>
    <row r="60" spans="1:230" s="507" customFormat="1" ht="12.9" customHeight="1" x14ac:dyDescent="0.2">
      <c r="A60" s="2"/>
      <c r="B60" s="2"/>
      <c r="C60" s="280"/>
      <c r="D60" s="280"/>
      <c r="E60" s="2"/>
      <c r="F60" s="2"/>
      <c r="G60" s="2"/>
      <c r="H60" s="2"/>
      <c r="I60" s="280"/>
      <c r="J60" s="280"/>
      <c r="K60" s="2"/>
      <c r="L60" s="2"/>
      <c r="M60" s="2"/>
      <c r="N60" s="2"/>
      <c r="O60" s="280"/>
      <c r="P60" s="280"/>
      <c r="Q60" s="2"/>
      <c r="R60" s="2"/>
      <c r="S60" s="2"/>
      <c r="T60" s="2"/>
      <c r="U60" s="280"/>
      <c r="V60" s="280"/>
      <c r="W60" s="2"/>
      <c r="X60" s="2"/>
      <c r="Y60" s="2"/>
      <c r="Z60" s="2"/>
      <c r="AA60" s="280"/>
      <c r="AB60" s="280"/>
      <c r="AC60" s="2"/>
      <c r="AD60" s="2"/>
      <c r="AE60" s="2"/>
      <c r="AF60" s="2"/>
      <c r="AG60" s="280"/>
      <c r="AH60" s="280"/>
      <c r="AI60" s="2"/>
      <c r="AJ60" s="2"/>
      <c r="AK60" s="2"/>
      <c r="AL60" s="2"/>
      <c r="AM60" s="280"/>
      <c r="AN60" s="280"/>
      <c r="AO60" s="2"/>
      <c r="AP60" s="2"/>
      <c r="AQ60" s="2"/>
      <c r="AR60" s="2"/>
      <c r="AS60" s="280"/>
      <c r="AT60" s="280"/>
      <c r="AU60" s="2"/>
      <c r="AV60" s="2"/>
      <c r="AW60" s="2"/>
      <c r="AX60" s="2"/>
      <c r="AY60" s="280"/>
      <c r="AZ60" s="280"/>
      <c r="BA60" s="2"/>
      <c r="BB60" s="2"/>
      <c r="BC60" s="2"/>
      <c r="BD60" s="2"/>
      <c r="BE60" s="280"/>
      <c r="BF60" s="280"/>
      <c r="BG60" s="2"/>
      <c r="BH60" s="2"/>
      <c r="BI60" s="2"/>
      <c r="BJ60" s="2"/>
      <c r="BK60" s="280"/>
      <c r="BL60" s="280"/>
      <c r="BM60" s="2"/>
      <c r="BN60" s="2"/>
      <c r="BO60" s="2"/>
      <c r="BP60" s="2"/>
      <c r="BQ60" s="280"/>
      <c r="BR60" s="280"/>
      <c r="BS60" s="2"/>
      <c r="BT60" s="2"/>
      <c r="BU60" s="2"/>
      <c r="BV60" s="2"/>
      <c r="BW60" s="280"/>
      <c r="BX60" s="280"/>
      <c r="BY60" s="2"/>
      <c r="BZ60" s="2"/>
      <c r="CA60" s="2"/>
      <c r="CB60" s="2"/>
      <c r="CC60" s="280"/>
      <c r="CD60" s="280"/>
      <c r="CE60" s="2"/>
      <c r="CF60" s="2"/>
      <c r="CG60" s="2"/>
      <c r="CH60" s="2"/>
      <c r="CI60" s="280"/>
      <c r="CJ60" s="280"/>
      <c r="CK60" s="2"/>
      <c r="CL60" s="2"/>
      <c r="CM60" s="2"/>
      <c r="CN60" s="2"/>
      <c r="CO60" s="280"/>
      <c r="CP60" s="280"/>
      <c r="CQ60" s="2"/>
      <c r="CR60" s="2"/>
      <c r="CS60" s="2"/>
      <c r="CT60" s="2"/>
      <c r="CU60" s="280"/>
      <c r="CV60" s="280"/>
      <c r="CW60" s="2"/>
      <c r="CX60" s="2"/>
      <c r="CY60" s="2"/>
      <c r="CZ60" s="2"/>
      <c r="DA60" s="280"/>
      <c r="DB60" s="280"/>
      <c r="DC60" s="2"/>
      <c r="DD60" s="2"/>
      <c r="DE60" s="2"/>
      <c r="DF60" s="2"/>
      <c r="DG60" s="280"/>
      <c r="DH60" s="280"/>
      <c r="DI60" s="2"/>
      <c r="DJ60" s="2"/>
      <c r="DK60" s="2"/>
      <c r="DL60" s="2"/>
      <c r="DM60" s="280"/>
      <c r="DN60" s="280"/>
      <c r="DO60" s="2"/>
      <c r="DP60" s="2"/>
      <c r="DQ60" s="2"/>
      <c r="DR60" s="2"/>
    </row>
    <row r="61" spans="1:230" s="507" customFormat="1" ht="12.9" customHeight="1" x14ac:dyDescent="0.2">
      <c r="A61" s="2"/>
      <c r="B61" s="2"/>
      <c r="C61" s="280"/>
      <c r="D61" s="280"/>
      <c r="E61" s="2"/>
      <c r="F61" s="2"/>
      <c r="G61" s="2"/>
      <c r="H61" s="2"/>
      <c r="I61" s="280"/>
      <c r="J61" s="280"/>
      <c r="K61" s="2"/>
      <c r="L61" s="2"/>
      <c r="M61" s="2"/>
      <c r="N61" s="2"/>
      <c r="O61" s="280"/>
      <c r="P61" s="280"/>
      <c r="Q61" s="2"/>
      <c r="R61" s="2"/>
      <c r="S61" s="2"/>
      <c r="T61" s="2"/>
      <c r="U61" s="280"/>
      <c r="V61" s="280"/>
      <c r="W61" s="2"/>
      <c r="X61" s="2"/>
      <c r="Y61" s="2"/>
      <c r="Z61" s="2"/>
      <c r="AA61" s="280"/>
      <c r="AB61" s="280"/>
      <c r="AC61" s="2"/>
      <c r="AD61" s="2"/>
      <c r="AE61" s="2"/>
      <c r="AF61" s="2"/>
      <c r="AG61" s="280"/>
      <c r="AH61" s="280"/>
      <c r="AI61" s="2"/>
      <c r="AJ61" s="2"/>
      <c r="AK61" s="2"/>
      <c r="AL61" s="2"/>
      <c r="AM61" s="280"/>
      <c r="AN61" s="280"/>
      <c r="AO61" s="2"/>
      <c r="AP61" s="2"/>
      <c r="AQ61" s="2"/>
      <c r="AR61" s="2"/>
      <c r="AS61" s="280"/>
      <c r="AT61" s="280"/>
      <c r="AU61" s="2"/>
      <c r="AV61" s="2"/>
      <c r="AW61" s="2"/>
      <c r="AX61" s="2"/>
      <c r="AY61" s="280"/>
      <c r="AZ61" s="280"/>
      <c r="BA61" s="2"/>
      <c r="BB61" s="2"/>
      <c r="BC61" s="2"/>
      <c r="BD61" s="2"/>
      <c r="BE61" s="280"/>
      <c r="BF61" s="280"/>
      <c r="BG61" s="2"/>
      <c r="BH61" s="2"/>
      <c r="BI61" s="2"/>
      <c r="BJ61" s="2"/>
      <c r="BK61" s="280"/>
      <c r="BL61" s="280"/>
      <c r="BM61" s="2"/>
      <c r="BN61" s="2"/>
      <c r="BO61" s="2"/>
      <c r="BP61" s="2"/>
      <c r="BQ61" s="280"/>
      <c r="BR61" s="280"/>
      <c r="BS61" s="2"/>
      <c r="BT61" s="2"/>
      <c r="BU61" s="2"/>
      <c r="BV61" s="2"/>
      <c r="BW61" s="280"/>
      <c r="BX61" s="280"/>
      <c r="BY61" s="2"/>
      <c r="BZ61" s="2"/>
      <c r="CA61" s="2"/>
      <c r="CB61" s="2"/>
      <c r="CC61" s="280"/>
      <c r="CD61" s="280"/>
      <c r="CE61" s="2"/>
      <c r="CF61" s="2"/>
      <c r="CG61" s="2"/>
      <c r="CH61" s="2"/>
      <c r="CI61" s="280"/>
      <c r="CJ61" s="280"/>
      <c r="CK61" s="2"/>
      <c r="CL61" s="2"/>
      <c r="CM61" s="2"/>
      <c r="CN61" s="2"/>
      <c r="CO61" s="280"/>
      <c r="CP61" s="280"/>
      <c r="CQ61" s="2"/>
      <c r="CR61" s="2"/>
      <c r="CS61" s="2"/>
      <c r="CT61" s="2"/>
      <c r="CU61" s="280"/>
      <c r="CV61" s="280"/>
      <c r="CW61" s="2"/>
      <c r="CX61" s="2"/>
      <c r="CY61" s="2"/>
      <c r="CZ61" s="2"/>
      <c r="DA61" s="280"/>
      <c r="DB61" s="280"/>
      <c r="DC61" s="2"/>
      <c r="DD61" s="2"/>
      <c r="DE61" s="2"/>
      <c r="DF61" s="2"/>
      <c r="DG61" s="280"/>
      <c r="DH61" s="280"/>
      <c r="DI61" s="2"/>
      <c r="DJ61" s="2"/>
      <c r="DK61" s="2"/>
      <c r="DL61" s="2"/>
      <c r="DM61" s="280"/>
      <c r="DN61" s="280"/>
      <c r="DO61" s="2"/>
      <c r="DP61" s="2"/>
      <c r="DQ61" s="2"/>
      <c r="DR61" s="2"/>
    </row>
    <row r="62" spans="1:230" s="507" customFormat="1" ht="12.9" customHeight="1" x14ac:dyDescent="0.2">
      <c r="A62" s="2"/>
      <c r="B62" s="2"/>
      <c r="C62" s="280"/>
      <c r="D62" s="280"/>
      <c r="E62" s="2"/>
      <c r="F62" s="2"/>
      <c r="G62" s="2"/>
      <c r="H62" s="2"/>
      <c r="I62" s="280"/>
      <c r="J62" s="280"/>
      <c r="K62" s="2"/>
      <c r="L62" s="2"/>
      <c r="M62" s="2"/>
      <c r="N62" s="2"/>
      <c r="O62" s="280"/>
      <c r="P62" s="280"/>
      <c r="Q62" s="2"/>
      <c r="R62" s="2"/>
      <c r="S62" s="2"/>
      <c r="T62" s="2"/>
      <c r="U62" s="280"/>
      <c r="V62" s="280"/>
      <c r="W62" s="2"/>
      <c r="X62" s="2"/>
      <c r="Y62" s="2"/>
      <c r="Z62" s="2"/>
      <c r="AA62" s="280"/>
      <c r="AB62" s="280"/>
      <c r="AC62" s="2"/>
      <c r="AD62" s="2"/>
      <c r="AE62" s="2"/>
      <c r="AF62" s="2"/>
      <c r="AG62" s="280"/>
      <c r="AH62" s="280"/>
      <c r="AI62" s="2"/>
      <c r="AJ62" s="2"/>
      <c r="AK62" s="2"/>
      <c r="AL62" s="2"/>
      <c r="AM62" s="280"/>
      <c r="AN62" s="280"/>
      <c r="AO62" s="2"/>
      <c r="AP62" s="2"/>
      <c r="AQ62" s="2"/>
      <c r="AR62" s="2"/>
      <c r="AS62" s="280"/>
      <c r="AT62" s="280"/>
      <c r="AU62" s="2"/>
      <c r="AV62" s="2"/>
      <c r="AW62" s="2"/>
      <c r="AX62" s="2"/>
      <c r="AY62" s="280"/>
      <c r="AZ62" s="280"/>
      <c r="BA62" s="2"/>
      <c r="BB62" s="2"/>
      <c r="BC62" s="2"/>
      <c r="BD62" s="2"/>
      <c r="BE62" s="280"/>
      <c r="BF62" s="280"/>
      <c r="BG62" s="2"/>
      <c r="BH62" s="2"/>
      <c r="BI62" s="2"/>
      <c r="BJ62" s="2"/>
      <c r="BK62" s="280"/>
      <c r="BL62" s="280"/>
      <c r="BM62" s="2"/>
      <c r="BN62" s="2"/>
      <c r="BO62" s="2"/>
      <c r="BP62" s="2"/>
      <c r="BQ62" s="280"/>
      <c r="BR62" s="280"/>
      <c r="BS62" s="2"/>
      <c r="BT62" s="2"/>
      <c r="BU62" s="2"/>
      <c r="BV62" s="2"/>
      <c r="BW62" s="280"/>
      <c r="BX62" s="280"/>
      <c r="BY62" s="2"/>
      <c r="BZ62" s="2"/>
      <c r="CA62" s="2"/>
      <c r="CB62" s="2"/>
      <c r="CC62" s="280"/>
      <c r="CD62" s="280"/>
      <c r="CE62" s="2"/>
      <c r="CF62" s="2"/>
      <c r="CG62" s="2"/>
      <c r="CH62" s="2"/>
      <c r="CI62" s="280"/>
      <c r="CJ62" s="280"/>
      <c r="CK62" s="2"/>
      <c r="CL62" s="2"/>
      <c r="CM62" s="2"/>
      <c r="CN62" s="2"/>
      <c r="CO62" s="280"/>
      <c r="CP62" s="280"/>
      <c r="CQ62" s="2"/>
      <c r="CR62" s="2"/>
      <c r="CS62" s="2"/>
      <c r="CT62" s="2"/>
      <c r="CU62" s="280"/>
      <c r="CV62" s="280"/>
      <c r="CW62" s="2"/>
      <c r="CX62" s="2"/>
      <c r="CY62" s="2"/>
      <c r="CZ62" s="2"/>
      <c r="DA62" s="280"/>
      <c r="DB62" s="280"/>
      <c r="DC62" s="2"/>
      <c r="DD62" s="2"/>
      <c r="DE62" s="2"/>
      <c r="DF62" s="2"/>
      <c r="DG62" s="280"/>
      <c r="DH62" s="280"/>
      <c r="DI62" s="2"/>
      <c r="DJ62" s="2"/>
      <c r="DK62" s="2"/>
      <c r="DL62" s="2"/>
      <c r="DM62" s="280"/>
      <c r="DN62" s="280"/>
      <c r="DO62" s="2"/>
      <c r="DP62" s="2"/>
      <c r="DQ62" s="2"/>
      <c r="DR62" s="2"/>
    </row>
    <row r="63" spans="1:230" s="507" customFormat="1" ht="12.9" customHeight="1" x14ac:dyDescent="0.2">
      <c r="A63" s="2"/>
      <c r="B63" s="2"/>
      <c r="C63" s="280"/>
      <c r="D63" s="280"/>
      <c r="E63" s="2"/>
      <c r="F63" s="2"/>
      <c r="G63" s="2"/>
      <c r="H63" s="2"/>
      <c r="I63" s="280"/>
      <c r="J63" s="280"/>
      <c r="K63" s="2"/>
      <c r="L63" s="2"/>
      <c r="M63" s="2"/>
      <c r="N63" s="2"/>
      <c r="O63" s="280"/>
      <c r="P63" s="280"/>
      <c r="Q63" s="2"/>
      <c r="R63" s="2"/>
      <c r="S63" s="2"/>
      <c r="T63" s="2"/>
      <c r="U63" s="280"/>
      <c r="V63" s="280"/>
      <c r="W63" s="2"/>
      <c r="X63" s="2"/>
      <c r="Y63" s="2"/>
      <c r="Z63" s="2"/>
      <c r="AA63" s="280"/>
      <c r="AB63" s="280"/>
      <c r="AC63" s="2"/>
      <c r="AD63" s="2"/>
      <c r="AE63" s="2"/>
      <c r="AF63" s="2"/>
      <c r="AG63" s="280"/>
      <c r="AH63" s="280"/>
      <c r="AI63" s="2"/>
      <c r="AJ63" s="2"/>
      <c r="AK63" s="2"/>
      <c r="AL63" s="2"/>
      <c r="AM63" s="280"/>
      <c r="AN63" s="280"/>
      <c r="AO63" s="2"/>
      <c r="AP63" s="2"/>
      <c r="AQ63" s="2"/>
      <c r="AR63" s="2"/>
      <c r="AS63" s="280"/>
      <c r="AT63" s="280"/>
      <c r="AU63" s="2"/>
      <c r="AV63" s="2"/>
      <c r="AW63" s="2"/>
      <c r="AX63" s="2"/>
      <c r="AY63" s="280"/>
      <c r="AZ63" s="280"/>
      <c r="BA63" s="2"/>
      <c r="BB63" s="2"/>
      <c r="BC63" s="2"/>
      <c r="BD63" s="2"/>
      <c r="BE63" s="280"/>
      <c r="BF63" s="280"/>
      <c r="BG63" s="2"/>
      <c r="BH63" s="2"/>
      <c r="BI63" s="2"/>
      <c r="BJ63" s="2"/>
      <c r="BK63" s="280"/>
      <c r="BL63" s="280"/>
      <c r="BM63" s="2"/>
      <c r="BN63" s="2"/>
      <c r="BO63" s="2"/>
      <c r="BP63" s="2"/>
      <c r="BQ63" s="280"/>
      <c r="BR63" s="280"/>
      <c r="BS63" s="2"/>
      <c r="BT63" s="2"/>
      <c r="BU63" s="2"/>
      <c r="BV63" s="2"/>
      <c r="BW63" s="280"/>
      <c r="BX63" s="280"/>
      <c r="BY63" s="2"/>
      <c r="BZ63" s="2"/>
      <c r="CA63" s="2"/>
      <c r="CB63" s="2"/>
      <c r="CC63" s="280"/>
      <c r="CD63" s="280"/>
      <c r="CE63" s="2"/>
      <c r="CF63" s="2"/>
      <c r="CG63" s="2"/>
      <c r="CH63" s="2"/>
      <c r="CI63" s="280"/>
      <c r="CJ63" s="280"/>
      <c r="CK63" s="2"/>
      <c r="CL63" s="2"/>
      <c r="CM63" s="2"/>
      <c r="CN63" s="2"/>
      <c r="CO63" s="280"/>
      <c r="CP63" s="280"/>
      <c r="CQ63" s="2"/>
      <c r="CR63" s="2"/>
      <c r="CS63" s="2"/>
      <c r="CT63" s="2"/>
      <c r="CU63" s="280"/>
      <c r="CV63" s="280"/>
      <c r="CW63" s="2"/>
      <c r="CX63" s="2"/>
      <c r="CY63" s="2"/>
      <c r="CZ63" s="2"/>
      <c r="DA63" s="280"/>
      <c r="DB63" s="280"/>
      <c r="DC63" s="2"/>
      <c r="DD63" s="2"/>
      <c r="DE63" s="2"/>
      <c r="DF63" s="2"/>
      <c r="DG63" s="280"/>
      <c r="DH63" s="280"/>
      <c r="DI63" s="2"/>
      <c r="DJ63" s="2"/>
      <c r="DK63" s="2"/>
      <c r="DL63" s="2"/>
      <c r="DM63" s="280"/>
      <c r="DN63" s="280"/>
      <c r="DO63" s="2"/>
      <c r="DP63" s="2"/>
      <c r="DQ63" s="2"/>
      <c r="DR63" s="2"/>
    </row>
    <row r="64" spans="1:230" s="507" customFormat="1" ht="12.9" customHeight="1" x14ac:dyDescent="0.2">
      <c r="A64" s="2"/>
      <c r="B64" s="2"/>
      <c r="C64" s="280"/>
      <c r="D64" s="280"/>
      <c r="E64" s="2"/>
      <c r="F64" s="2"/>
      <c r="G64" s="2"/>
      <c r="H64" s="2"/>
      <c r="I64" s="280"/>
      <c r="J64" s="280"/>
      <c r="K64" s="2"/>
      <c r="L64" s="2"/>
      <c r="M64" s="2"/>
      <c r="N64" s="2"/>
      <c r="O64" s="280"/>
      <c r="P64" s="280"/>
      <c r="Q64" s="2"/>
      <c r="R64" s="2"/>
      <c r="S64" s="2"/>
      <c r="T64" s="2"/>
      <c r="U64" s="280"/>
      <c r="V64" s="280"/>
      <c r="W64" s="2"/>
      <c r="X64" s="2"/>
      <c r="Y64" s="2"/>
      <c r="Z64" s="2"/>
      <c r="AA64" s="280"/>
      <c r="AB64" s="280"/>
      <c r="AC64" s="2"/>
      <c r="AD64" s="2"/>
      <c r="AE64" s="2"/>
      <c r="AF64" s="2"/>
      <c r="AG64" s="280"/>
      <c r="AH64" s="280"/>
      <c r="AI64" s="2"/>
      <c r="AJ64" s="2"/>
      <c r="AK64" s="2"/>
      <c r="AL64" s="2"/>
      <c r="AM64" s="280"/>
      <c r="AN64" s="280"/>
      <c r="AO64" s="2"/>
      <c r="AP64" s="2"/>
      <c r="AQ64" s="2"/>
      <c r="AR64" s="2"/>
      <c r="AS64" s="280"/>
      <c r="AT64" s="280"/>
      <c r="AU64" s="2"/>
      <c r="AV64" s="2"/>
      <c r="AW64" s="2"/>
      <c r="AX64" s="2"/>
      <c r="AY64" s="280"/>
      <c r="AZ64" s="280"/>
      <c r="BA64" s="2"/>
      <c r="BB64" s="2"/>
      <c r="BC64" s="2"/>
      <c r="BD64" s="2"/>
      <c r="BE64" s="280"/>
      <c r="BF64" s="280"/>
      <c r="BG64" s="2"/>
      <c r="BH64" s="2"/>
      <c r="BI64" s="2"/>
      <c r="BJ64" s="2"/>
      <c r="BK64" s="280"/>
      <c r="BL64" s="280"/>
      <c r="BM64" s="2"/>
      <c r="BN64" s="2"/>
      <c r="BO64" s="2"/>
      <c r="BP64" s="2"/>
      <c r="BQ64" s="280"/>
      <c r="BR64" s="280"/>
      <c r="BS64" s="2"/>
      <c r="BT64" s="2"/>
      <c r="BU64" s="2"/>
      <c r="BV64" s="2"/>
      <c r="BW64" s="280"/>
      <c r="BX64" s="280"/>
      <c r="BY64" s="2"/>
      <c r="BZ64" s="2"/>
      <c r="CA64" s="2"/>
      <c r="CB64" s="2"/>
      <c r="CC64" s="280"/>
      <c r="CD64" s="280"/>
      <c r="CE64" s="2"/>
      <c r="CF64" s="2"/>
      <c r="CG64" s="2"/>
      <c r="CH64" s="2"/>
      <c r="CI64" s="280"/>
      <c r="CJ64" s="280"/>
      <c r="CK64" s="2"/>
      <c r="CL64" s="2"/>
      <c r="CM64" s="2"/>
      <c r="CN64" s="2"/>
      <c r="CO64" s="280"/>
      <c r="CP64" s="280"/>
      <c r="CQ64" s="2"/>
      <c r="CR64" s="2"/>
      <c r="CS64" s="2"/>
      <c r="CT64" s="2"/>
      <c r="CU64" s="280"/>
      <c r="CV64" s="280"/>
      <c r="CW64" s="2"/>
      <c r="CX64" s="2"/>
      <c r="CY64" s="2"/>
      <c r="CZ64" s="2"/>
      <c r="DA64" s="280"/>
      <c r="DB64" s="280"/>
      <c r="DC64" s="2"/>
      <c r="DD64" s="2"/>
      <c r="DE64" s="2"/>
      <c r="DF64" s="2"/>
      <c r="DG64" s="280"/>
      <c r="DH64" s="280"/>
      <c r="DI64" s="2"/>
      <c r="DJ64" s="2"/>
      <c r="DK64" s="2"/>
      <c r="DL64" s="2"/>
      <c r="DM64" s="280"/>
      <c r="DN64" s="280"/>
      <c r="DO64" s="2"/>
      <c r="DP64" s="2"/>
      <c r="DQ64" s="2"/>
      <c r="DR64" s="2"/>
    </row>
    <row r="65" spans="1:122" s="507" customFormat="1" ht="12.9" customHeight="1" x14ac:dyDescent="0.2">
      <c r="A65" s="2"/>
      <c r="B65" s="2"/>
      <c r="C65" s="280"/>
      <c r="D65" s="280"/>
      <c r="E65" s="2"/>
      <c r="F65" s="2"/>
      <c r="G65" s="2"/>
      <c r="H65" s="2"/>
      <c r="I65" s="280"/>
      <c r="J65" s="280"/>
      <c r="K65" s="2"/>
      <c r="L65" s="2"/>
      <c r="M65" s="2"/>
      <c r="N65" s="2"/>
      <c r="O65" s="280"/>
      <c r="P65" s="280"/>
      <c r="Q65" s="2"/>
      <c r="R65" s="2"/>
      <c r="S65" s="2"/>
      <c r="T65" s="2"/>
      <c r="U65" s="280"/>
      <c r="V65" s="280"/>
      <c r="W65" s="2"/>
      <c r="X65" s="2"/>
      <c r="Y65" s="2"/>
      <c r="Z65" s="2"/>
      <c r="AA65" s="280"/>
      <c r="AB65" s="280"/>
      <c r="AC65" s="2"/>
      <c r="AD65" s="2"/>
      <c r="AE65" s="2"/>
      <c r="AF65" s="2"/>
      <c r="AG65" s="280"/>
      <c r="AH65" s="280"/>
      <c r="AI65" s="2"/>
      <c r="AJ65" s="2"/>
      <c r="AK65" s="2"/>
      <c r="AL65" s="2"/>
      <c r="AM65" s="280"/>
      <c r="AN65" s="280"/>
      <c r="AO65" s="2"/>
      <c r="AP65" s="2"/>
      <c r="AQ65" s="2"/>
      <c r="AR65" s="2"/>
      <c r="AS65" s="280"/>
      <c r="AT65" s="280"/>
      <c r="AU65" s="2"/>
      <c r="AV65" s="2"/>
      <c r="AW65" s="2"/>
      <c r="AX65" s="2"/>
      <c r="AY65" s="280"/>
      <c r="AZ65" s="280"/>
      <c r="BA65" s="2"/>
      <c r="BB65" s="2"/>
      <c r="BC65" s="2"/>
      <c r="BD65" s="2"/>
      <c r="BE65" s="280"/>
      <c r="BF65" s="280"/>
      <c r="BG65" s="2"/>
      <c r="BH65" s="2"/>
      <c r="BI65" s="2"/>
      <c r="BJ65" s="2"/>
      <c r="BK65" s="280"/>
      <c r="BL65" s="280"/>
      <c r="BM65" s="2"/>
      <c r="BN65" s="2"/>
      <c r="BO65" s="2"/>
      <c r="BP65" s="2"/>
      <c r="BQ65" s="280"/>
      <c r="BR65" s="280"/>
      <c r="BS65" s="2"/>
      <c r="BT65" s="2"/>
      <c r="BU65" s="2"/>
      <c r="BV65" s="2"/>
      <c r="BW65" s="280"/>
      <c r="BX65" s="280"/>
      <c r="BY65" s="2"/>
      <c r="BZ65" s="2"/>
      <c r="CA65" s="2"/>
      <c r="CB65" s="2"/>
      <c r="CC65" s="280"/>
      <c r="CD65" s="280"/>
      <c r="CE65" s="2"/>
      <c r="CF65" s="2"/>
      <c r="CG65" s="2"/>
      <c r="CH65" s="2"/>
      <c r="CI65" s="280"/>
      <c r="CJ65" s="280"/>
      <c r="CK65" s="2"/>
      <c r="CL65" s="2"/>
      <c r="CM65" s="2"/>
      <c r="CN65" s="2"/>
      <c r="CO65" s="280"/>
      <c r="CP65" s="280"/>
      <c r="CQ65" s="2"/>
      <c r="CR65" s="2"/>
      <c r="CS65" s="2"/>
      <c r="CT65" s="2"/>
      <c r="CU65" s="280"/>
      <c r="CV65" s="280"/>
      <c r="CW65" s="2"/>
      <c r="CX65" s="2"/>
      <c r="CY65" s="2"/>
      <c r="CZ65" s="2"/>
      <c r="DA65" s="280"/>
      <c r="DB65" s="280"/>
      <c r="DC65" s="2"/>
      <c r="DD65" s="2"/>
      <c r="DE65" s="2"/>
      <c r="DF65" s="2"/>
      <c r="DG65" s="280"/>
      <c r="DH65" s="280"/>
      <c r="DI65" s="2"/>
      <c r="DJ65" s="2"/>
      <c r="DK65" s="2"/>
      <c r="DL65" s="2"/>
      <c r="DM65" s="280"/>
      <c r="DN65" s="280"/>
      <c r="DO65" s="2"/>
      <c r="DP65" s="2"/>
      <c r="DQ65" s="2"/>
      <c r="DR65" s="2"/>
    </row>
    <row r="66" spans="1:122" s="507" customFormat="1" ht="12.9" customHeight="1" x14ac:dyDescent="0.2">
      <c r="A66" s="2"/>
      <c r="B66" s="2"/>
      <c r="C66" s="280"/>
      <c r="D66" s="280"/>
      <c r="E66" s="2"/>
      <c r="F66" s="2"/>
      <c r="G66" s="2"/>
      <c r="H66" s="2"/>
      <c r="I66" s="280"/>
      <c r="J66" s="280"/>
      <c r="K66" s="2"/>
      <c r="L66" s="2"/>
      <c r="M66" s="2"/>
      <c r="N66" s="2"/>
      <c r="O66" s="280"/>
      <c r="P66" s="280"/>
      <c r="Q66" s="2"/>
      <c r="R66" s="2"/>
      <c r="S66" s="2"/>
      <c r="T66" s="2"/>
      <c r="U66" s="280"/>
      <c r="V66" s="280"/>
      <c r="W66" s="2"/>
      <c r="X66" s="2"/>
      <c r="Y66" s="2"/>
      <c r="Z66" s="2"/>
      <c r="AA66" s="280"/>
      <c r="AB66" s="280"/>
      <c r="AC66" s="2"/>
      <c r="AD66" s="2"/>
      <c r="AE66" s="2"/>
      <c r="AF66" s="2"/>
      <c r="AG66" s="280"/>
      <c r="AH66" s="280"/>
      <c r="AI66" s="2"/>
      <c r="AJ66" s="2"/>
      <c r="AK66" s="2"/>
      <c r="AL66" s="2"/>
      <c r="AM66" s="280"/>
      <c r="AN66" s="280"/>
      <c r="AO66" s="2"/>
      <c r="AP66" s="2"/>
      <c r="AQ66" s="2"/>
      <c r="AR66" s="2"/>
      <c r="AS66" s="280"/>
      <c r="AT66" s="280"/>
      <c r="AU66" s="2"/>
      <c r="AV66" s="2"/>
      <c r="AW66" s="2"/>
      <c r="AX66" s="2"/>
      <c r="AY66" s="280"/>
      <c r="AZ66" s="280"/>
      <c r="BA66" s="2"/>
      <c r="BB66" s="2"/>
      <c r="BC66" s="2"/>
      <c r="BD66" s="2"/>
      <c r="BE66" s="280"/>
      <c r="BF66" s="280"/>
      <c r="BG66" s="2"/>
      <c r="BH66" s="2"/>
      <c r="BI66" s="2"/>
      <c r="BJ66" s="2"/>
      <c r="BK66" s="280"/>
      <c r="BL66" s="280"/>
      <c r="BM66" s="2"/>
      <c r="BN66" s="2"/>
      <c r="BO66" s="2"/>
      <c r="BP66" s="2"/>
      <c r="BQ66" s="280"/>
      <c r="BR66" s="280"/>
      <c r="BS66" s="2"/>
      <c r="BT66" s="2"/>
      <c r="BU66" s="2"/>
      <c r="BV66" s="2"/>
      <c r="BW66" s="280"/>
      <c r="BX66" s="280"/>
      <c r="BY66" s="2"/>
      <c r="BZ66" s="2"/>
      <c r="CA66" s="2"/>
      <c r="CB66" s="2"/>
      <c r="CC66" s="280"/>
      <c r="CD66" s="280"/>
      <c r="CE66" s="2"/>
      <c r="CF66" s="2"/>
      <c r="CG66" s="2"/>
      <c r="CH66" s="2"/>
      <c r="CI66" s="280"/>
      <c r="CJ66" s="280"/>
      <c r="CK66" s="2"/>
      <c r="CL66" s="2"/>
      <c r="CM66" s="2"/>
      <c r="CN66" s="2"/>
      <c r="CO66" s="280"/>
      <c r="CP66" s="280"/>
      <c r="CQ66" s="2"/>
      <c r="CR66" s="2"/>
      <c r="CS66" s="2"/>
      <c r="CT66" s="2"/>
      <c r="CU66" s="280"/>
      <c r="CV66" s="280"/>
      <c r="CW66" s="2"/>
      <c r="CX66" s="2"/>
      <c r="CY66" s="2"/>
      <c r="CZ66" s="2"/>
      <c r="DA66" s="280"/>
      <c r="DB66" s="280"/>
      <c r="DC66" s="2"/>
      <c r="DD66" s="2"/>
      <c r="DE66" s="2"/>
      <c r="DF66" s="2"/>
      <c r="DG66" s="280"/>
      <c r="DH66" s="280"/>
      <c r="DI66" s="2"/>
      <c r="DJ66" s="2"/>
      <c r="DK66" s="2"/>
      <c r="DL66" s="2"/>
      <c r="DM66" s="280"/>
      <c r="DN66" s="280"/>
      <c r="DO66" s="2"/>
      <c r="DP66" s="2"/>
      <c r="DQ66" s="2"/>
      <c r="DR66" s="2"/>
    </row>
    <row r="67" spans="1:122" s="507" customFormat="1" ht="12.9" customHeight="1" x14ac:dyDescent="0.2">
      <c r="A67" s="2"/>
      <c r="B67" s="2"/>
      <c r="C67" s="280"/>
      <c r="D67" s="280"/>
      <c r="E67" s="2"/>
      <c r="F67" s="2"/>
      <c r="G67" s="2"/>
      <c r="H67" s="2"/>
      <c r="I67" s="280"/>
      <c r="J67" s="280"/>
      <c r="K67" s="2"/>
      <c r="L67" s="2"/>
      <c r="M67" s="2"/>
      <c r="N67" s="2"/>
      <c r="O67" s="280"/>
      <c r="P67" s="280"/>
      <c r="Q67" s="2"/>
      <c r="R67" s="2"/>
      <c r="S67" s="2"/>
      <c r="T67" s="2"/>
      <c r="U67" s="280"/>
      <c r="V67" s="280"/>
      <c r="W67" s="2"/>
      <c r="X67" s="2"/>
      <c r="Y67" s="2"/>
      <c r="Z67" s="2"/>
      <c r="AA67" s="280"/>
      <c r="AB67" s="280"/>
      <c r="AC67" s="2"/>
      <c r="AD67" s="2"/>
      <c r="AE67" s="2"/>
      <c r="AF67" s="2"/>
      <c r="AG67" s="280"/>
      <c r="AH67" s="280"/>
      <c r="AI67" s="2"/>
      <c r="AJ67" s="2"/>
      <c r="AK67" s="2"/>
      <c r="AL67" s="2"/>
      <c r="AM67" s="280"/>
      <c r="AN67" s="280"/>
      <c r="AO67" s="2"/>
      <c r="AP67" s="2"/>
      <c r="AQ67" s="2"/>
      <c r="AR67" s="2"/>
      <c r="AS67" s="280"/>
      <c r="AT67" s="280"/>
      <c r="AU67" s="2"/>
      <c r="AV67" s="2"/>
      <c r="AW67" s="2"/>
      <c r="AX67" s="2"/>
      <c r="AY67" s="280"/>
      <c r="AZ67" s="280"/>
      <c r="BA67" s="2"/>
      <c r="BB67" s="2"/>
      <c r="BC67" s="2"/>
      <c r="BD67" s="2"/>
      <c r="BE67" s="280"/>
      <c r="BF67" s="280"/>
      <c r="BG67" s="2"/>
      <c r="BH67" s="2"/>
      <c r="BI67" s="2"/>
      <c r="BJ67" s="2"/>
      <c r="BK67" s="280"/>
      <c r="BL67" s="280"/>
      <c r="BM67" s="2"/>
      <c r="BN67" s="2"/>
      <c r="BO67" s="2"/>
      <c r="BP67" s="2"/>
      <c r="BQ67" s="280"/>
      <c r="BR67" s="280"/>
      <c r="BS67" s="2"/>
      <c r="BT67" s="2"/>
      <c r="BU67" s="2"/>
      <c r="BV67" s="2"/>
      <c r="BW67" s="280"/>
      <c r="BX67" s="280"/>
      <c r="BY67" s="2"/>
      <c r="BZ67" s="2"/>
      <c r="CA67" s="2"/>
      <c r="CB67" s="2"/>
      <c r="CC67" s="280"/>
      <c r="CD67" s="280"/>
      <c r="CE67" s="2"/>
      <c r="CF67" s="2"/>
      <c r="CG67" s="2"/>
      <c r="CH67" s="2"/>
      <c r="CI67" s="280"/>
      <c r="CJ67" s="280"/>
      <c r="CK67" s="2"/>
      <c r="CL67" s="2"/>
      <c r="CM67" s="2"/>
      <c r="CN67" s="2"/>
      <c r="CO67" s="280"/>
      <c r="CP67" s="280"/>
      <c r="CQ67" s="2"/>
      <c r="CR67" s="2"/>
      <c r="CS67" s="2"/>
      <c r="CT67" s="2"/>
      <c r="CU67" s="280"/>
      <c r="CV67" s="280"/>
      <c r="CW67" s="2"/>
      <c r="CX67" s="2"/>
      <c r="CY67" s="2"/>
      <c r="CZ67" s="2"/>
      <c r="DA67" s="280"/>
      <c r="DB67" s="280"/>
      <c r="DC67" s="2"/>
      <c r="DD67" s="2"/>
      <c r="DE67" s="2"/>
      <c r="DF67" s="2"/>
      <c r="DG67" s="280"/>
      <c r="DH67" s="280"/>
      <c r="DI67" s="2"/>
      <c r="DJ67" s="2"/>
      <c r="DK67" s="2"/>
      <c r="DL67" s="2"/>
      <c r="DM67" s="280"/>
      <c r="DN67" s="280"/>
      <c r="DO67" s="2"/>
      <c r="DP67" s="2"/>
      <c r="DQ67" s="2"/>
      <c r="DR67" s="2"/>
    </row>
    <row r="68" spans="1:122" s="507" customFormat="1" ht="12.9" customHeight="1" x14ac:dyDescent="0.2">
      <c r="A68" s="2"/>
      <c r="B68" s="2"/>
      <c r="C68" s="280"/>
      <c r="D68" s="280"/>
      <c r="E68" s="2"/>
      <c r="F68" s="2"/>
      <c r="G68" s="2"/>
      <c r="H68" s="2"/>
      <c r="I68" s="280"/>
      <c r="J68" s="280"/>
      <c r="K68" s="2"/>
      <c r="L68" s="2"/>
      <c r="M68" s="2"/>
      <c r="N68" s="2"/>
      <c r="O68" s="280"/>
      <c r="P68" s="280"/>
      <c r="Q68" s="2"/>
      <c r="R68" s="2"/>
      <c r="S68" s="2"/>
      <c r="T68" s="2"/>
      <c r="U68" s="280"/>
      <c r="V68" s="280"/>
      <c r="W68" s="2"/>
      <c r="X68" s="2"/>
      <c r="Y68" s="2"/>
      <c r="Z68" s="2"/>
      <c r="AA68" s="280"/>
      <c r="AB68" s="280"/>
      <c r="AC68" s="2"/>
      <c r="AD68" s="2"/>
      <c r="AE68" s="2"/>
      <c r="AF68" s="2"/>
      <c r="AG68" s="280"/>
      <c r="AH68" s="280"/>
      <c r="AI68" s="2"/>
      <c r="AJ68" s="2"/>
      <c r="AK68" s="2"/>
      <c r="AL68" s="2"/>
      <c r="AM68" s="280"/>
      <c r="AN68" s="280"/>
      <c r="AO68" s="2"/>
      <c r="AP68" s="2"/>
      <c r="AQ68" s="2"/>
      <c r="AR68" s="2"/>
      <c r="AS68" s="280"/>
      <c r="AT68" s="280"/>
      <c r="AU68" s="2"/>
      <c r="AV68" s="2"/>
      <c r="AW68" s="2"/>
      <c r="AX68" s="2"/>
      <c r="AY68" s="280"/>
      <c r="AZ68" s="280"/>
      <c r="BA68" s="2"/>
      <c r="BB68" s="2"/>
      <c r="BC68" s="2"/>
      <c r="BD68" s="2"/>
      <c r="BE68" s="280"/>
      <c r="BF68" s="280"/>
      <c r="BG68" s="2"/>
      <c r="BH68" s="2"/>
      <c r="BI68" s="2"/>
      <c r="BJ68" s="2"/>
      <c r="BK68" s="280"/>
      <c r="BL68" s="280"/>
      <c r="BM68" s="2"/>
      <c r="BN68" s="2"/>
      <c r="BO68" s="2"/>
      <c r="BP68" s="2"/>
      <c r="BQ68" s="280"/>
      <c r="BR68" s="280"/>
      <c r="BS68" s="2"/>
      <c r="BT68" s="2"/>
      <c r="BU68" s="2"/>
      <c r="BV68" s="2"/>
      <c r="BW68" s="280"/>
      <c r="BX68" s="280"/>
      <c r="BY68" s="2"/>
      <c r="BZ68" s="2"/>
      <c r="CA68" s="2"/>
      <c r="CB68" s="2"/>
      <c r="CC68" s="280"/>
      <c r="CD68" s="280"/>
      <c r="CE68" s="2"/>
      <c r="CF68" s="2"/>
      <c r="CG68" s="2"/>
      <c r="CH68" s="2"/>
      <c r="CI68" s="280"/>
      <c r="CJ68" s="280"/>
      <c r="CK68" s="2"/>
      <c r="CL68" s="2"/>
      <c r="CM68" s="2"/>
      <c r="CN68" s="2"/>
      <c r="CO68" s="280"/>
      <c r="CP68" s="280"/>
      <c r="CQ68" s="2"/>
      <c r="CR68" s="2"/>
      <c r="CS68" s="2"/>
      <c r="CT68" s="2"/>
      <c r="CU68" s="280"/>
      <c r="CV68" s="280"/>
      <c r="CW68" s="2"/>
      <c r="CX68" s="2"/>
      <c r="CY68" s="2"/>
      <c r="CZ68" s="2"/>
      <c r="DA68" s="280"/>
      <c r="DB68" s="280"/>
      <c r="DC68" s="2"/>
      <c r="DD68" s="2"/>
      <c r="DE68" s="2"/>
      <c r="DF68" s="2"/>
      <c r="DG68" s="280"/>
      <c r="DH68" s="280"/>
      <c r="DI68" s="2"/>
      <c r="DJ68" s="2"/>
      <c r="DK68" s="2"/>
      <c r="DL68" s="2"/>
      <c r="DM68" s="280"/>
      <c r="DN68" s="280"/>
      <c r="DO68" s="2"/>
      <c r="DP68" s="2"/>
      <c r="DQ68" s="2"/>
      <c r="DR68" s="2"/>
    </row>
    <row r="69" spans="1:122" s="507" customFormat="1" ht="12.9" customHeight="1" x14ac:dyDescent="0.2">
      <c r="A69" s="2"/>
      <c r="B69" s="2"/>
      <c r="C69" s="280"/>
      <c r="D69" s="280"/>
      <c r="E69" s="2"/>
      <c r="F69" s="2"/>
      <c r="G69" s="2"/>
      <c r="H69" s="2"/>
      <c r="I69" s="280"/>
      <c r="J69" s="280"/>
      <c r="K69" s="2"/>
      <c r="L69" s="2"/>
      <c r="M69" s="2"/>
      <c r="N69" s="2"/>
      <c r="O69" s="280"/>
      <c r="P69" s="280"/>
      <c r="Q69" s="2"/>
      <c r="R69" s="2"/>
      <c r="S69" s="2"/>
      <c r="T69" s="2"/>
      <c r="U69" s="280"/>
      <c r="V69" s="280"/>
      <c r="W69" s="2"/>
      <c r="X69" s="2"/>
      <c r="Y69" s="2"/>
      <c r="Z69" s="2"/>
      <c r="AA69" s="280"/>
      <c r="AB69" s="280"/>
      <c r="AC69" s="2"/>
      <c r="AD69" s="2"/>
      <c r="AE69" s="2"/>
      <c r="AF69" s="2"/>
      <c r="AG69" s="280"/>
      <c r="AH69" s="280"/>
      <c r="AI69" s="2"/>
      <c r="AJ69" s="2"/>
      <c r="AK69" s="2"/>
      <c r="AL69" s="2"/>
      <c r="AM69" s="280"/>
      <c r="AN69" s="280"/>
      <c r="AO69" s="2"/>
      <c r="AP69" s="2"/>
      <c r="AQ69" s="2"/>
      <c r="AR69" s="2"/>
      <c r="AS69" s="280"/>
      <c r="AT69" s="280"/>
      <c r="AU69" s="2"/>
      <c r="AV69" s="2"/>
      <c r="AW69" s="2"/>
      <c r="AX69" s="2"/>
      <c r="AY69" s="280"/>
      <c r="AZ69" s="280"/>
      <c r="BA69" s="2"/>
      <c r="BB69" s="2"/>
      <c r="BC69" s="2"/>
      <c r="BD69" s="2"/>
      <c r="BE69" s="280"/>
      <c r="BF69" s="280"/>
      <c r="BG69" s="2"/>
      <c r="BH69" s="2"/>
      <c r="BI69" s="2"/>
      <c r="BJ69" s="2"/>
      <c r="BK69" s="280"/>
      <c r="BL69" s="280"/>
      <c r="BM69" s="2"/>
      <c r="BN69" s="2"/>
      <c r="BO69" s="2"/>
      <c r="BP69" s="2"/>
      <c r="BQ69" s="280"/>
      <c r="BR69" s="280"/>
      <c r="BS69" s="2"/>
      <c r="BT69" s="2"/>
      <c r="BU69" s="2"/>
      <c r="BV69" s="2"/>
      <c r="BW69" s="280"/>
      <c r="BX69" s="280"/>
      <c r="BY69" s="2"/>
      <c r="BZ69" s="2"/>
      <c r="CA69" s="2"/>
      <c r="CB69" s="2"/>
      <c r="CC69" s="280"/>
      <c r="CD69" s="280"/>
      <c r="CE69" s="2"/>
      <c r="CF69" s="2"/>
      <c r="CG69" s="2"/>
      <c r="CH69" s="2"/>
      <c r="CI69" s="280"/>
      <c r="CJ69" s="280"/>
      <c r="CK69" s="2"/>
      <c r="CL69" s="2"/>
      <c r="CM69" s="2"/>
      <c r="CN69" s="2"/>
      <c r="CO69" s="280"/>
      <c r="CP69" s="280"/>
      <c r="CQ69" s="2"/>
      <c r="CR69" s="2"/>
      <c r="CS69" s="2"/>
      <c r="CT69" s="2"/>
      <c r="CU69" s="280"/>
      <c r="CV69" s="280"/>
      <c r="CW69" s="2"/>
      <c r="CX69" s="2"/>
      <c r="CY69" s="2"/>
      <c r="CZ69" s="2"/>
      <c r="DA69" s="280"/>
      <c r="DB69" s="280"/>
      <c r="DC69" s="2"/>
      <c r="DD69" s="2"/>
      <c r="DE69" s="2"/>
      <c r="DF69" s="2"/>
      <c r="DG69" s="280"/>
      <c r="DH69" s="280"/>
      <c r="DI69" s="2"/>
      <c r="DJ69" s="2"/>
      <c r="DK69" s="2"/>
      <c r="DL69" s="2"/>
      <c r="DM69" s="280"/>
      <c r="DN69" s="280"/>
      <c r="DO69" s="2"/>
      <c r="DP69" s="2"/>
      <c r="DQ69" s="2"/>
      <c r="DR69" s="2"/>
    </row>
    <row r="70" spans="1:122" s="507" customFormat="1" ht="12.9" customHeight="1" x14ac:dyDescent="0.2">
      <c r="A70" s="2"/>
      <c r="B70" s="2"/>
      <c r="C70" s="280"/>
      <c r="D70" s="280"/>
      <c r="E70" s="2"/>
      <c r="F70" s="2"/>
      <c r="G70" s="2"/>
      <c r="H70" s="2"/>
      <c r="I70" s="280"/>
      <c r="J70" s="280"/>
      <c r="K70" s="2"/>
      <c r="L70" s="2"/>
      <c r="M70" s="2"/>
      <c r="N70" s="2"/>
      <c r="O70" s="280"/>
      <c r="P70" s="280"/>
      <c r="Q70" s="2"/>
      <c r="R70" s="2"/>
      <c r="S70" s="2"/>
      <c r="T70" s="2"/>
      <c r="U70" s="280"/>
      <c r="V70" s="280"/>
      <c r="W70" s="2"/>
      <c r="X70" s="2"/>
      <c r="Y70" s="2"/>
      <c r="Z70" s="2"/>
      <c r="AA70" s="280"/>
      <c r="AB70" s="280"/>
      <c r="AC70" s="2"/>
      <c r="AD70" s="2"/>
      <c r="AE70" s="2"/>
      <c r="AF70" s="2"/>
      <c r="AG70" s="280"/>
      <c r="AH70" s="280"/>
      <c r="AI70" s="2"/>
      <c r="AJ70" s="2"/>
      <c r="AK70" s="2"/>
      <c r="AL70" s="2"/>
      <c r="AM70" s="280"/>
      <c r="AN70" s="280"/>
      <c r="AO70" s="2"/>
      <c r="AP70" s="2"/>
      <c r="AQ70" s="2"/>
      <c r="AR70" s="2"/>
      <c r="AS70" s="280"/>
      <c r="AT70" s="280"/>
      <c r="AU70" s="2"/>
      <c r="AV70" s="2"/>
      <c r="AW70" s="2"/>
      <c r="AX70" s="2"/>
      <c r="AY70" s="280"/>
      <c r="AZ70" s="280"/>
      <c r="BA70" s="2"/>
      <c r="BB70" s="2"/>
      <c r="BC70" s="2"/>
      <c r="BD70" s="2"/>
      <c r="BE70" s="280"/>
      <c r="BF70" s="280"/>
      <c r="BG70" s="2"/>
      <c r="BH70" s="2"/>
      <c r="BI70" s="2"/>
      <c r="BJ70" s="2"/>
      <c r="BK70" s="280"/>
      <c r="BL70" s="280"/>
      <c r="BM70" s="2"/>
      <c r="BN70" s="2"/>
      <c r="BO70" s="2"/>
      <c r="BP70" s="2"/>
      <c r="BQ70" s="280"/>
      <c r="BR70" s="280"/>
      <c r="BS70" s="2"/>
      <c r="BT70" s="2"/>
      <c r="BU70" s="2"/>
      <c r="BV70" s="2"/>
      <c r="BW70" s="280"/>
      <c r="BX70" s="280"/>
      <c r="BY70" s="2"/>
      <c r="BZ70" s="2"/>
      <c r="CA70" s="2"/>
      <c r="CB70" s="2"/>
      <c r="CC70" s="280"/>
      <c r="CD70" s="280"/>
      <c r="CE70" s="2"/>
      <c r="CF70" s="2"/>
      <c r="CG70" s="2"/>
      <c r="CH70" s="2"/>
      <c r="CI70" s="280"/>
      <c r="CJ70" s="280"/>
      <c r="CK70" s="2"/>
      <c r="CL70" s="2"/>
      <c r="CM70" s="2"/>
      <c r="CN70" s="2"/>
      <c r="CO70" s="280"/>
      <c r="CP70" s="280"/>
      <c r="CQ70" s="2"/>
      <c r="CR70" s="2"/>
      <c r="CS70" s="2"/>
      <c r="CT70" s="2"/>
      <c r="CU70" s="280"/>
      <c r="CV70" s="280"/>
      <c r="CW70" s="2"/>
      <c r="CX70" s="2"/>
      <c r="CY70" s="2"/>
      <c r="CZ70" s="2"/>
      <c r="DA70" s="280"/>
      <c r="DB70" s="280"/>
      <c r="DC70" s="2"/>
      <c r="DD70" s="2"/>
      <c r="DE70" s="2"/>
      <c r="DF70" s="2"/>
      <c r="DG70" s="280"/>
      <c r="DH70" s="280"/>
      <c r="DI70" s="2"/>
      <c r="DJ70" s="2"/>
      <c r="DK70" s="2"/>
      <c r="DL70" s="2"/>
      <c r="DM70" s="280"/>
      <c r="DN70" s="280"/>
      <c r="DO70" s="2"/>
      <c r="DP70" s="2"/>
      <c r="DQ70" s="2"/>
      <c r="DR70" s="2"/>
    </row>
    <row r="71" spans="1:122" s="507" customFormat="1" ht="12.9" customHeight="1" x14ac:dyDescent="0.2">
      <c r="A71" s="2"/>
      <c r="B71" s="2"/>
      <c r="C71" s="280"/>
      <c r="D71" s="280"/>
      <c r="E71" s="2"/>
      <c r="F71" s="2"/>
      <c r="G71" s="2"/>
      <c r="H71" s="2"/>
      <c r="I71" s="280"/>
      <c r="J71" s="280"/>
      <c r="K71" s="2"/>
      <c r="L71" s="2"/>
      <c r="M71" s="2"/>
      <c r="N71" s="2"/>
      <c r="O71" s="280"/>
      <c r="P71" s="280"/>
      <c r="Q71" s="2"/>
      <c r="R71" s="2"/>
      <c r="S71" s="2"/>
      <c r="T71" s="2"/>
      <c r="U71" s="280"/>
      <c r="V71" s="280"/>
      <c r="W71" s="2"/>
      <c r="X71" s="2"/>
      <c r="Y71" s="2"/>
      <c r="Z71" s="2"/>
      <c r="AA71" s="280"/>
      <c r="AB71" s="280"/>
      <c r="AC71" s="2"/>
      <c r="AD71" s="2"/>
      <c r="AE71" s="2"/>
      <c r="AF71" s="2"/>
      <c r="AG71" s="280"/>
      <c r="AH71" s="280"/>
      <c r="AI71" s="2"/>
      <c r="AJ71" s="2"/>
      <c r="AK71" s="2"/>
      <c r="AL71" s="2"/>
      <c r="AM71" s="280"/>
      <c r="AN71" s="280"/>
      <c r="AO71" s="2"/>
      <c r="AP71" s="2"/>
      <c r="AQ71" s="2"/>
      <c r="AR71" s="2"/>
      <c r="AS71" s="280"/>
      <c r="AT71" s="280"/>
      <c r="AU71" s="2"/>
      <c r="AV71" s="2"/>
      <c r="AW71" s="2"/>
      <c r="AX71" s="2"/>
      <c r="AY71" s="280"/>
      <c r="AZ71" s="280"/>
      <c r="BA71" s="2"/>
      <c r="BB71" s="2"/>
      <c r="BC71" s="2"/>
      <c r="BD71" s="2"/>
      <c r="BE71" s="280"/>
      <c r="BF71" s="280"/>
      <c r="BG71" s="2"/>
      <c r="BH71" s="2"/>
      <c r="BI71" s="2"/>
      <c r="BJ71" s="2"/>
      <c r="BK71" s="280"/>
      <c r="BL71" s="280"/>
      <c r="BM71" s="2"/>
      <c r="BN71" s="2"/>
      <c r="BO71" s="2"/>
      <c r="BP71" s="2"/>
      <c r="BQ71" s="280"/>
      <c r="BR71" s="280"/>
      <c r="BS71" s="2"/>
      <c r="BT71" s="2"/>
      <c r="BU71" s="2"/>
      <c r="BV71" s="2"/>
      <c r="BW71" s="280"/>
      <c r="BX71" s="280"/>
      <c r="BY71" s="2"/>
      <c r="BZ71" s="2"/>
      <c r="CA71" s="2"/>
      <c r="CB71" s="2"/>
      <c r="CC71" s="280"/>
      <c r="CD71" s="280"/>
      <c r="CE71" s="2"/>
      <c r="CF71" s="2"/>
      <c r="CG71" s="2"/>
      <c r="CH71" s="2"/>
      <c r="CI71" s="280"/>
      <c r="CJ71" s="280"/>
      <c r="CK71" s="2"/>
      <c r="CL71" s="2"/>
      <c r="CM71" s="2"/>
      <c r="CN71" s="2"/>
      <c r="CO71" s="280"/>
      <c r="CP71" s="280"/>
      <c r="CQ71" s="2"/>
      <c r="CR71" s="2"/>
      <c r="CS71" s="2"/>
      <c r="CT71" s="2"/>
      <c r="CU71" s="280"/>
      <c r="CV71" s="280"/>
      <c r="CW71" s="2"/>
      <c r="CX71" s="2"/>
      <c r="CY71" s="2"/>
      <c r="CZ71" s="2"/>
      <c r="DA71" s="280"/>
      <c r="DB71" s="280"/>
      <c r="DC71" s="2"/>
      <c r="DD71" s="2"/>
      <c r="DE71" s="2"/>
      <c r="DF71" s="2"/>
      <c r="DG71" s="280"/>
      <c r="DH71" s="280"/>
      <c r="DI71" s="2"/>
      <c r="DJ71" s="2"/>
      <c r="DK71" s="2"/>
      <c r="DL71" s="2"/>
      <c r="DM71" s="280"/>
      <c r="DN71" s="280"/>
      <c r="DO71" s="2"/>
      <c r="DP71" s="2"/>
      <c r="DQ71" s="2"/>
      <c r="DR71" s="2"/>
    </row>
    <row r="72" spans="1:122" s="507" customFormat="1" ht="12.9" customHeight="1" x14ac:dyDescent="0.2">
      <c r="A72" s="2"/>
      <c r="B72" s="2"/>
      <c r="C72" s="280"/>
      <c r="D72" s="280"/>
      <c r="E72" s="2"/>
      <c r="F72" s="2"/>
      <c r="G72" s="2"/>
      <c r="H72" s="2"/>
      <c r="I72" s="280"/>
      <c r="J72" s="280"/>
      <c r="K72" s="2"/>
      <c r="L72" s="2"/>
      <c r="M72" s="2"/>
      <c r="N72" s="2"/>
      <c r="O72" s="280"/>
      <c r="P72" s="280"/>
      <c r="Q72" s="2"/>
      <c r="R72" s="2"/>
      <c r="S72" s="2"/>
      <c r="T72" s="2"/>
      <c r="U72" s="280"/>
      <c r="V72" s="280"/>
      <c r="W72" s="2"/>
      <c r="X72" s="2"/>
      <c r="Y72" s="2"/>
      <c r="Z72" s="2"/>
      <c r="AA72" s="280"/>
      <c r="AB72" s="280"/>
      <c r="AC72" s="2"/>
      <c r="AD72" s="2"/>
      <c r="AE72" s="2"/>
      <c r="AF72" s="2"/>
      <c r="AG72" s="280"/>
      <c r="AH72" s="280"/>
      <c r="AI72" s="2"/>
      <c r="AJ72" s="2"/>
      <c r="AK72" s="2"/>
      <c r="AL72" s="2"/>
      <c r="AM72" s="280"/>
      <c r="AN72" s="280"/>
      <c r="AO72" s="2"/>
      <c r="AP72" s="2"/>
      <c r="AQ72" s="2"/>
      <c r="AR72" s="2"/>
      <c r="AS72" s="280"/>
      <c r="AT72" s="280"/>
      <c r="AU72" s="2"/>
      <c r="AV72" s="2"/>
      <c r="AW72" s="2"/>
      <c r="AX72" s="2"/>
      <c r="AY72" s="280"/>
      <c r="AZ72" s="280"/>
      <c r="BA72" s="2"/>
      <c r="BB72" s="2"/>
      <c r="BC72" s="2"/>
      <c r="BD72" s="2"/>
      <c r="BE72" s="280"/>
      <c r="BF72" s="280"/>
      <c r="BG72" s="2"/>
      <c r="BH72" s="2"/>
      <c r="BI72" s="2"/>
      <c r="BJ72" s="2"/>
      <c r="BK72" s="280"/>
      <c r="BL72" s="280"/>
      <c r="BM72" s="2"/>
      <c r="BN72" s="2"/>
      <c r="BO72" s="2"/>
      <c r="BP72" s="2"/>
      <c r="BQ72" s="280"/>
      <c r="BR72" s="280"/>
      <c r="BS72" s="2"/>
      <c r="BT72" s="2"/>
      <c r="BU72" s="2"/>
      <c r="BV72" s="2"/>
      <c r="BW72" s="280"/>
      <c r="BX72" s="280"/>
      <c r="BY72" s="2"/>
      <c r="BZ72" s="2"/>
      <c r="CA72" s="2"/>
      <c r="CB72" s="2"/>
      <c r="CC72" s="280"/>
      <c r="CD72" s="280"/>
      <c r="CE72" s="2"/>
      <c r="CF72" s="2"/>
      <c r="CG72" s="2"/>
      <c r="CH72" s="2"/>
      <c r="CI72" s="280"/>
      <c r="CJ72" s="280"/>
      <c r="CK72" s="2"/>
      <c r="CL72" s="2"/>
      <c r="CM72" s="2"/>
      <c r="CN72" s="2"/>
      <c r="CO72" s="280"/>
      <c r="CP72" s="280"/>
      <c r="CQ72" s="2"/>
      <c r="CR72" s="2"/>
      <c r="CS72" s="2"/>
      <c r="CT72" s="2"/>
      <c r="CU72" s="280"/>
      <c r="CV72" s="280"/>
      <c r="CW72" s="2"/>
      <c r="CX72" s="2"/>
      <c r="CY72" s="2"/>
      <c r="CZ72" s="2"/>
      <c r="DA72" s="280"/>
      <c r="DB72" s="280"/>
      <c r="DC72" s="2"/>
      <c r="DD72" s="2"/>
      <c r="DE72" s="2"/>
      <c r="DF72" s="2"/>
      <c r="DG72" s="280"/>
      <c r="DH72" s="280"/>
      <c r="DI72" s="2"/>
      <c r="DJ72" s="2"/>
      <c r="DK72" s="2"/>
      <c r="DL72" s="2"/>
      <c r="DM72" s="280"/>
      <c r="DN72" s="280"/>
      <c r="DO72" s="2"/>
      <c r="DP72" s="2"/>
      <c r="DQ72" s="2"/>
      <c r="DR72" s="2"/>
    </row>
    <row r="73" spans="1:122" s="507" customFormat="1" ht="12.9" customHeight="1" x14ac:dyDescent="0.2">
      <c r="A73" s="2"/>
      <c r="B73" s="2"/>
      <c r="C73" s="280"/>
      <c r="D73" s="280"/>
      <c r="E73" s="2"/>
      <c r="F73" s="2"/>
      <c r="G73" s="2"/>
      <c r="H73" s="2"/>
      <c r="I73" s="280"/>
      <c r="J73" s="280"/>
      <c r="K73" s="2"/>
      <c r="L73" s="2"/>
      <c r="M73" s="2"/>
      <c r="N73" s="2"/>
      <c r="O73" s="280"/>
      <c r="P73" s="280"/>
      <c r="Q73" s="2"/>
      <c r="R73" s="2"/>
      <c r="S73" s="2"/>
      <c r="T73" s="2"/>
      <c r="U73" s="280"/>
      <c r="V73" s="280"/>
      <c r="W73" s="2"/>
      <c r="X73" s="2"/>
      <c r="Y73" s="2"/>
      <c r="Z73" s="2"/>
      <c r="AA73" s="280"/>
      <c r="AB73" s="280"/>
      <c r="AC73" s="2"/>
      <c r="AD73" s="2"/>
      <c r="AE73" s="2"/>
      <c r="AF73" s="2"/>
      <c r="AG73" s="280"/>
      <c r="AH73" s="280"/>
      <c r="AI73" s="2"/>
      <c r="AJ73" s="2"/>
      <c r="AK73" s="2"/>
      <c r="AL73" s="2"/>
      <c r="AM73" s="280"/>
      <c r="AN73" s="280"/>
      <c r="AO73" s="2"/>
      <c r="AP73" s="2"/>
      <c r="AQ73" s="2"/>
      <c r="AR73" s="2"/>
      <c r="AS73" s="280"/>
      <c r="AT73" s="280"/>
      <c r="AU73" s="2"/>
      <c r="AV73" s="2"/>
      <c r="AW73" s="2"/>
      <c r="AX73" s="2"/>
      <c r="AY73" s="280"/>
      <c r="AZ73" s="280"/>
      <c r="BA73" s="2"/>
      <c r="BB73" s="2"/>
      <c r="BC73" s="2"/>
      <c r="BD73" s="2"/>
      <c r="BE73" s="280"/>
      <c r="BF73" s="280"/>
      <c r="BG73" s="2"/>
      <c r="BH73" s="2"/>
      <c r="BI73" s="2"/>
      <c r="BJ73" s="2"/>
      <c r="BK73" s="280"/>
      <c r="BL73" s="280"/>
      <c r="BM73" s="2"/>
      <c r="BN73" s="2"/>
      <c r="BO73" s="2"/>
      <c r="BP73" s="2"/>
      <c r="BQ73" s="280"/>
      <c r="BR73" s="280"/>
      <c r="BS73" s="2"/>
      <c r="BT73" s="2"/>
      <c r="BU73" s="2"/>
      <c r="BV73" s="2"/>
      <c r="BW73" s="280"/>
      <c r="BX73" s="280"/>
      <c r="BY73" s="2"/>
      <c r="BZ73" s="2"/>
      <c r="CA73" s="2"/>
      <c r="CB73" s="2"/>
      <c r="CC73" s="280"/>
      <c r="CD73" s="280"/>
      <c r="CE73" s="2"/>
      <c r="CF73" s="2"/>
      <c r="CG73" s="2"/>
      <c r="CH73" s="2"/>
      <c r="CI73" s="280"/>
      <c r="CJ73" s="280"/>
      <c r="CK73" s="2"/>
      <c r="CL73" s="2"/>
      <c r="CM73" s="2"/>
      <c r="CN73" s="2"/>
      <c r="CO73" s="280"/>
      <c r="CP73" s="280"/>
      <c r="CQ73" s="2"/>
      <c r="CR73" s="2"/>
      <c r="CS73" s="2"/>
      <c r="CT73" s="2"/>
      <c r="CU73" s="280"/>
      <c r="CV73" s="280"/>
      <c r="CW73" s="2"/>
      <c r="CX73" s="2"/>
      <c r="CY73" s="2"/>
      <c r="CZ73" s="2"/>
      <c r="DA73" s="280"/>
      <c r="DB73" s="280"/>
      <c r="DC73" s="2"/>
      <c r="DD73" s="2"/>
      <c r="DE73" s="2"/>
      <c r="DF73" s="2"/>
      <c r="DG73" s="280"/>
      <c r="DH73" s="280"/>
      <c r="DI73" s="2"/>
      <c r="DJ73" s="2"/>
      <c r="DK73" s="2"/>
      <c r="DL73" s="2"/>
      <c r="DM73" s="280"/>
      <c r="DN73" s="280"/>
      <c r="DO73" s="2"/>
      <c r="DP73" s="2"/>
      <c r="DQ73" s="2"/>
      <c r="DR73" s="2"/>
    </row>
    <row r="74" spans="1:122" s="507" customFormat="1" ht="12.9" customHeight="1" x14ac:dyDescent="0.2">
      <c r="A74" s="2"/>
      <c r="B74" s="2"/>
      <c r="C74" s="280"/>
      <c r="D74" s="280"/>
      <c r="E74" s="2"/>
      <c r="F74" s="2"/>
      <c r="G74" s="2"/>
      <c r="H74" s="2"/>
      <c r="I74" s="280"/>
      <c r="J74" s="280"/>
      <c r="K74" s="2"/>
      <c r="L74" s="2"/>
      <c r="M74" s="2"/>
      <c r="N74" s="2"/>
      <c r="O74" s="280"/>
      <c r="P74" s="280"/>
      <c r="Q74" s="2"/>
      <c r="R74" s="2"/>
      <c r="S74" s="2"/>
      <c r="T74" s="2"/>
      <c r="U74" s="280"/>
      <c r="V74" s="280"/>
      <c r="W74" s="2"/>
      <c r="X74" s="2"/>
      <c r="Y74" s="2"/>
      <c r="Z74" s="2"/>
      <c r="AA74" s="280"/>
      <c r="AB74" s="280"/>
      <c r="AC74" s="2"/>
      <c r="AD74" s="2"/>
      <c r="AE74" s="2"/>
      <c r="AF74" s="2"/>
      <c r="AG74" s="280"/>
      <c r="AH74" s="280"/>
      <c r="AI74" s="2"/>
      <c r="AJ74" s="2"/>
      <c r="AK74" s="2"/>
      <c r="AL74" s="2"/>
      <c r="AM74" s="280"/>
      <c r="AN74" s="280"/>
      <c r="AO74" s="2"/>
      <c r="AP74" s="2"/>
      <c r="AQ74" s="2"/>
      <c r="AR74" s="2"/>
      <c r="AS74" s="280"/>
      <c r="AT74" s="280"/>
      <c r="AU74" s="2"/>
      <c r="AV74" s="2"/>
      <c r="AW74" s="2"/>
      <c r="AX74" s="2"/>
      <c r="AY74" s="280"/>
      <c r="AZ74" s="280"/>
      <c r="BA74" s="2"/>
      <c r="BB74" s="2"/>
      <c r="BC74" s="2"/>
      <c r="BD74" s="2"/>
      <c r="BE74" s="280"/>
      <c r="BF74" s="280"/>
      <c r="BG74" s="2"/>
      <c r="BH74" s="2"/>
      <c r="BI74" s="2"/>
      <c r="BJ74" s="2"/>
      <c r="BK74" s="280"/>
      <c r="BL74" s="280"/>
      <c r="BM74" s="2"/>
      <c r="BN74" s="2"/>
      <c r="BO74" s="2"/>
      <c r="BP74" s="2"/>
      <c r="BQ74" s="280"/>
      <c r="BR74" s="280"/>
      <c r="BS74" s="2"/>
      <c r="BT74" s="2"/>
      <c r="BU74" s="2"/>
      <c r="BV74" s="2"/>
      <c r="BW74" s="280"/>
      <c r="BX74" s="280"/>
      <c r="BY74" s="2"/>
      <c r="BZ74" s="2"/>
      <c r="CA74" s="2"/>
      <c r="CB74" s="2"/>
      <c r="CC74" s="280"/>
      <c r="CD74" s="280"/>
      <c r="CE74" s="2"/>
      <c r="CF74" s="2"/>
      <c r="CG74" s="2"/>
      <c r="CH74" s="2"/>
      <c r="CI74" s="280"/>
      <c r="CJ74" s="280"/>
      <c r="CK74" s="2"/>
      <c r="CL74" s="2"/>
      <c r="CM74" s="2"/>
      <c r="CN74" s="2"/>
      <c r="CO74" s="280"/>
      <c r="CP74" s="280"/>
      <c r="CQ74" s="2"/>
      <c r="CR74" s="2"/>
      <c r="CS74" s="2"/>
      <c r="CT74" s="2"/>
      <c r="CU74" s="280"/>
      <c r="CV74" s="280"/>
      <c r="CW74" s="2"/>
      <c r="CX74" s="2"/>
      <c r="CY74" s="2"/>
      <c r="CZ74" s="2"/>
      <c r="DA74" s="280"/>
      <c r="DB74" s="280"/>
      <c r="DC74" s="2"/>
      <c r="DD74" s="2"/>
      <c r="DE74" s="2"/>
      <c r="DF74" s="2"/>
      <c r="DG74" s="280"/>
      <c r="DH74" s="280"/>
      <c r="DI74" s="2"/>
      <c r="DJ74" s="2"/>
      <c r="DK74" s="2"/>
      <c r="DL74" s="2"/>
      <c r="DM74" s="280"/>
      <c r="DN74" s="280"/>
      <c r="DO74" s="2"/>
      <c r="DP74" s="2"/>
      <c r="DQ74" s="2"/>
      <c r="DR74" s="2"/>
    </row>
    <row r="75" spans="1:122" ht="12.9" customHeight="1" x14ac:dyDescent="0.2">
      <c r="A75" s="509" t="s">
        <v>2012</v>
      </c>
      <c r="B75" s="494"/>
      <c r="C75" s="675" t="s">
        <v>3155</v>
      </c>
      <c r="D75" s="676"/>
      <c r="E75" s="676"/>
      <c r="F75" s="676"/>
      <c r="G75" s="676"/>
      <c r="H75" s="677"/>
      <c r="I75" s="675" t="s">
        <v>3156</v>
      </c>
      <c r="J75" s="676"/>
      <c r="K75" s="676"/>
      <c r="L75" s="676"/>
      <c r="M75" s="676"/>
      <c r="N75" s="677"/>
      <c r="O75" s="675" t="s">
        <v>3157</v>
      </c>
      <c r="P75" s="676"/>
      <c r="Q75" s="676"/>
      <c r="R75" s="676"/>
      <c r="S75" s="676"/>
      <c r="T75" s="677"/>
      <c r="U75" s="675" t="s">
        <v>3158</v>
      </c>
      <c r="V75" s="676"/>
      <c r="W75" s="676"/>
      <c r="X75" s="676"/>
      <c r="Y75" s="676"/>
      <c r="Z75" s="677"/>
      <c r="AA75" s="675" t="s">
        <v>3159</v>
      </c>
      <c r="AB75" s="676"/>
      <c r="AC75" s="676"/>
      <c r="AD75" s="676"/>
      <c r="AE75" s="676"/>
      <c r="AF75" s="677"/>
      <c r="AG75" s="675" t="s">
        <v>3161</v>
      </c>
      <c r="AH75" s="676"/>
      <c r="AI75" s="676"/>
      <c r="AJ75" s="676"/>
      <c r="AK75" s="676"/>
      <c r="AL75" s="677"/>
      <c r="AM75" s="675" t="s">
        <v>3162</v>
      </c>
      <c r="AN75" s="676"/>
      <c r="AO75" s="676"/>
      <c r="AP75" s="676"/>
      <c r="AQ75" s="676"/>
      <c r="AR75" s="677"/>
      <c r="AS75" s="675" t="s">
        <v>3163</v>
      </c>
      <c r="AT75" s="676"/>
      <c r="AU75" s="676"/>
      <c r="AV75" s="676"/>
      <c r="AW75" s="676"/>
      <c r="AX75" s="677"/>
      <c r="AY75" s="675" t="s">
        <v>3164</v>
      </c>
      <c r="AZ75" s="676"/>
      <c r="BA75" s="676"/>
      <c r="BB75" s="676"/>
      <c r="BC75" s="676"/>
      <c r="BD75" s="677"/>
      <c r="BE75" s="675" t="s">
        <v>3165</v>
      </c>
      <c r="BF75" s="676"/>
      <c r="BG75" s="676"/>
      <c r="BH75" s="676"/>
      <c r="BI75" s="676"/>
      <c r="BJ75" s="677"/>
      <c r="BK75" s="675" t="s">
        <v>3166</v>
      </c>
      <c r="BL75" s="676"/>
      <c r="BM75" s="676"/>
      <c r="BN75" s="676"/>
      <c r="BO75" s="676"/>
      <c r="BP75" s="677"/>
      <c r="BQ75" s="675" t="s">
        <v>3167</v>
      </c>
      <c r="BR75" s="676"/>
      <c r="BS75" s="676"/>
      <c r="BT75" s="676"/>
      <c r="BU75" s="676"/>
      <c r="BV75" s="677"/>
      <c r="BW75" s="675" t="s">
        <v>3168</v>
      </c>
      <c r="BX75" s="676"/>
      <c r="BY75" s="676"/>
      <c r="BZ75" s="676"/>
      <c r="CA75" s="676"/>
      <c r="CB75" s="677"/>
      <c r="CC75" s="675" t="s">
        <v>3169</v>
      </c>
      <c r="CD75" s="676"/>
      <c r="CE75" s="676"/>
      <c r="CF75" s="676"/>
      <c r="CG75" s="676"/>
      <c r="CH75" s="677"/>
      <c r="CI75" s="675" t="s">
        <v>3170</v>
      </c>
      <c r="CJ75" s="676"/>
      <c r="CK75" s="676"/>
      <c r="CL75" s="676"/>
      <c r="CM75" s="676"/>
      <c r="CN75" s="677"/>
      <c r="CO75" s="675" t="s">
        <v>3171</v>
      </c>
      <c r="CP75" s="676"/>
      <c r="CQ75" s="676"/>
      <c r="CR75" s="676"/>
      <c r="CS75" s="676"/>
      <c r="CT75" s="677"/>
      <c r="CU75" s="675" t="s">
        <v>388</v>
      </c>
      <c r="CV75" s="676"/>
      <c r="CW75" s="676"/>
      <c r="CX75" s="676"/>
      <c r="CY75" s="676"/>
      <c r="CZ75" s="677"/>
      <c r="DA75" s="675" t="s">
        <v>387</v>
      </c>
      <c r="DB75" s="676"/>
      <c r="DC75" s="676"/>
      <c r="DD75" s="676"/>
      <c r="DE75" s="676"/>
      <c r="DF75" s="677"/>
      <c r="DG75" s="675" t="s">
        <v>386</v>
      </c>
      <c r="DH75" s="676"/>
      <c r="DI75" s="676"/>
      <c r="DJ75" s="676"/>
      <c r="DK75" s="676"/>
      <c r="DL75" s="677"/>
      <c r="DM75" s="675" t="s">
        <v>385</v>
      </c>
      <c r="DN75" s="676"/>
      <c r="DO75" s="676"/>
      <c r="DP75" s="676"/>
      <c r="DQ75" s="676"/>
      <c r="DR75" s="677"/>
    </row>
    <row r="76" spans="1:122" ht="12.9" customHeight="1" x14ac:dyDescent="0.2">
      <c r="A76" s="510" t="s">
        <v>2263</v>
      </c>
      <c r="B76" s="9"/>
      <c r="D76" s="498"/>
      <c r="E76" s="4" t="s">
        <v>2017</v>
      </c>
      <c r="F76" s="4" t="s">
        <v>2018</v>
      </c>
      <c r="G76" s="4" t="s">
        <v>2019</v>
      </c>
      <c r="H76" s="5" t="s">
        <v>2020</v>
      </c>
      <c r="I76" s="497"/>
      <c r="J76" s="498"/>
      <c r="K76" s="4" t="s">
        <v>2017</v>
      </c>
      <c r="L76" s="4" t="s">
        <v>2018</v>
      </c>
      <c r="M76" s="4" t="s">
        <v>2019</v>
      </c>
      <c r="N76" s="5" t="s">
        <v>2020</v>
      </c>
      <c r="O76" s="497"/>
      <c r="P76" s="498"/>
      <c r="Q76" s="4" t="s">
        <v>2017</v>
      </c>
      <c r="R76" s="4" t="s">
        <v>2018</v>
      </c>
      <c r="S76" s="4" t="s">
        <v>2019</v>
      </c>
      <c r="T76" s="5" t="s">
        <v>2020</v>
      </c>
      <c r="U76" s="497"/>
      <c r="V76" s="498"/>
      <c r="W76" s="4" t="s">
        <v>2017</v>
      </c>
      <c r="X76" s="4" t="s">
        <v>2018</v>
      </c>
      <c r="Y76" s="4" t="s">
        <v>2019</v>
      </c>
      <c r="Z76" s="5" t="s">
        <v>2020</v>
      </c>
      <c r="AA76" s="497"/>
      <c r="AB76" s="498"/>
      <c r="AC76" s="4" t="s">
        <v>2017</v>
      </c>
      <c r="AD76" s="4" t="s">
        <v>2018</v>
      </c>
      <c r="AE76" s="4" t="s">
        <v>2019</v>
      </c>
      <c r="AF76" s="5" t="s">
        <v>2020</v>
      </c>
      <c r="AG76" s="497"/>
      <c r="AH76" s="498"/>
      <c r="AI76" s="4" t="s">
        <v>2017</v>
      </c>
      <c r="AJ76" s="4" t="s">
        <v>2018</v>
      </c>
      <c r="AK76" s="4" t="s">
        <v>2019</v>
      </c>
      <c r="AL76" s="5" t="s">
        <v>2020</v>
      </c>
      <c r="AM76" s="497"/>
      <c r="AN76" s="498"/>
      <c r="AO76" s="4" t="s">
        <v>2017</v>
      </c>
      <c r="AP76" s="4" t="s">
        <v>2018</v>
      </c>
      <c r="AQ76" s="4" t="s">
        <v>2019</v>
      </c>
      <c r="AR76" s="5" t="s">
        <v>2020</v>
      </c>
      <c r="AS76" s="497"/>
      <c r="AT76" s="498"/>
      <c r="AU76" s="4" t="s">
        <v>2017</v>
      </c>
      <c r="AV76" s="4" t="s">
        <v>2018</v>
      </c>
      <c r="AW76" s="4" t="s">
        <v>2019</v>
      </c>
      <c r="AX76" s="5" t="s">
        <v>2020</v>
      </c>
      <c r="AY76" s="497"/>
      <c r="AZ76" s="498"/>
      <c r="BA76" s="4" t="s">
        <v>2017</v>
      </c>
      <c r="BB76" s="4" t="s">
        <v>2018</v>
      </c>
      <c r="BC76" s="4" t="s">
        <v>2019</v>
      </c>
      <c r="BD76" s="5" t="s">
        <v>2020</v>
      </c>
      <c r="BE76" s="497"/>
      <c r="BF76" s="498"/>
      <c r="BG76" s="4" t="s">
        <v>2017</v>
      </c>
      <c r="BH76" s="4" t="s">
        <v>2018</v>
      </c>
      <c r="BI76" s="4" t="s">
        <v>2019</v>
      </c>
      <c r="BJ76" s="5" t="s">
        <v>2020</v>
      </c>
      <c r="BK76" s="497"/>
      <c r="BL76" s="498"/>
      <c r="BM76" s="4" t="s">
        <v>2017</v>
      </c>
      <c r="BN76" s="4" t="s">
        <v>2018</v>
      </c>
      <c r="BO76" s="4" t="s">
        <v>2019</v>
      </c>
      <c r="BP76" s="5" t="s">
        <v>2020</v>
      </c>
      <c r="BQ76" s="497"/>
      <c r="BR76" s="498"/>
      <c r="BS76" s="4" t="s">
        <v>2017</v>
      </c>
      <c r="BT76" s="4" t="s">
        <v>2018</v>
      </c>
      <c r="BU76" s="4" t="s">
        <v>2019</v>
      </c>
      <c r="BV76" s="5" t="s">
        <v>2020</v>
      </c>
      <c r="BW76" s="497"/>
      <c r="BX76" s="498"/>
      <c r="BY76" s="4" t="s">
        <v>2017</v>
      </c>
      <c r="BZ76" s="4" t="s">
        <v>2018</v>
      </c>
      <c r="CA76" s="4" t="s">
        <v>2019</v>
      </c>
      <c r="CB76" s="5" t="s">
        <v>2020</v>
      </c>
      <c r="CD76" s="498"/>
      <c r="CE76" s="4" t="s">
        <v>2017</v>
      </c>
      <c r="CF76" s="4" t="s">
        <v>2018</v>
      </c>
      <c r="CG76" s="4" t="s">
        <v>2019</v>
      </c>
      <c r="CH76" s="5" t="s">
        <v>2020</v>
      </c>
      <c r="CI76" s="497"/>
      <c r="CJ76" s="498"/>
      <c r="CK76" s="4" t="s">
        <v>2017</v>
      </c>
      <c r="CL76" s="4" t="s">
        <v>2018</v>
      </c>
      <c r="CM76" s="4" t="s">
        <v>2019</v>
      </c>
      <c r="CN76" s="5" t="s">
        <v>2020</v>
      </c>
      <c r="CO76" s="497"/>
      <c r="CP76" s="498"/>
      <c r="CQ76" s="4" t="s">
        <v>2017</v>
      </c>
      <c r="CR76" s="4" t="s">
        <v>2018</v>
      </c>
      <c r="CS76" s="4" t="s">
        <v>2019</v>
      </c>
      <c r="CT76" s="5" t="s">
        <v>2020</v>
      </c>
      <c r="CU76" s="497"/>
      <c r="CV76" s="498"/>
      <c r="CW76" s="4" t="s">
        <v>2017</v>
      </c>
      <c r="CX76" s="4" t="s">
        <v>2018</v>
      </c>
      <c r="CY76" s="4" t="s">
        <v>2019</v>
      </c>
      <c r="CZ76" s="5" t="s">
        <v>2020</v>
      </c>
      <c r="DA76" s="497"/>
      <c r="DB76" s="498"/>
      <c r="DC76" s="4" t="s">
        <v>2017</v>
      </c>
      <c r="DD76" s="4" t="s">
        <v>2018</v>
      </c>
      <c r="DE76" s="4" t="s">
        <v>2019</v>
      </c>
      <c r="DF76" s="5" t="s">
        <v>2020</v>
      </c>
      <c r="DG76" s="497"/>
      <c r="DH76" s="498"/>
      <c r="DI76" s="4" t="s">
        <v>2017</v>
      </c>
      <c r="DJ76" s="4" t="s">
        <v>2018</v>
      </c>
      <c r="DK76" s="4" t="s">
        <v>2019</v>
      </c>
      <c r="DL76" s="5" t="s">
        <v>2020</v>
      </c>
      <c r="DM76" s="497"/>
      <c r="DN76" s="498"/>
      <c r="DO76" s="4" t="s">
        <v>2017</v>
      </c>
      <c r="DP76" s="4" t="s">
        <v>2018</v>
      </c>
      <c r="DQ76" s="4" t="s">
        <v>2019</v>
      </c>
      <c r="DR76" s="5" t="s">
        <v>2020</v>
      </c>
    </row>
    <row r="77" spans="1:122" ht="12.9" customHeight="1" x14ac:dyDescent="0.2">
      <c r="A77" s="511" t="s">
        <v>707</v>
      </c>
      <c r="B77" s="7"/>
      <c r="C77" s="499" t="s">
        <v>724</v>
      </c>
      <c r="D77" s="197" t="s">
        <v>2035</v>
      </c>
      <c r="E77" s="2" t="s">
        <v>725</v>
      </c>
      <c r="F77" s="2" t="s">
        <v>726</v>
      </c>
      <c r="G77" s="2" t="s">
        <v>728</v>
      </c>
      <c r="H77" s="3" t="s">
        <v>3631</v>
      </c>
      <c r="I77" s="197" t="s">
        <v>3318</v>
      </c>
      <c r="J77" s="499" t="s">
        <v>2029</v>
      </c>
      <c r="K77" s="419" t="s">
        <v>1735</v>
      </c>
      <c r="L77" s="419" t="s">
        <v>1741</v>
      </c>
      <c r="M77" s="419" t="s">
        <v>1742</v>
      </c>
      <c r="N77" s="419" t="s">
        <v>1743</v>
      </c>
      <c r="O77" s="405" t="s">
        <v>3319</v>
      </c>
      <c r="P77" s="197" t="s">
        <v>2041</v>
      </c>
      <c r="Q77" s="2" t="s">
        <v>3629</v>
      </c>
      <c r="R77" s="2" t="s">
        <v>3916</v>
      </c>
      <c r="S77" s="2" t="s">
        <v>3630</v>
      </c>
      <c r="T77" s="404" t="s">
        <v>3917</v>
      </c>
      <c r="U77" s="499" t="s">
        <v>3320</v>
      </c>
      <c r="V77" s="197" t="s">
        <v>3433</v>
      </c>
      <c r="W77" s="419" t="s">
        <v>4021</v>
      </c>
      <c r="X77" s="419" t="s">
        <v>1678</v>
      </c>
      <c r="Y77" s="419" t="s">
        <v>4022</v>
      </c>
      <c r="Z77" s="419" t="s">
        <v>4023</v>
      </c>
      <c r="AA77" s="197" t="s">
        <v>3146</v>
      </c>
      <c r="AB77" s="499" t="s">
        <v>2035</v>
      </c>
      <c r="AC77" s="2" t="s">
        <v>1529</v>
      </c>
      <c r="AD77" s="2" t="s">
        <v>3922</v>
      </c>
      <c r="AE77" s="2" t="s">
        <v>2488</v>
      </c>
      <c r="AF77" s="2" t="s">
        <v>1238</v>
      </c>
      <c r="AG77" s="405" t="s">
        <v>3618</v>
      </c>
      <c r="AH77" s="197" t="s">
        <v>3357</v>
      </c>
      <c r="AI77" s="419" t="s">
        <v>2492</v>
      </c>
      <c r="AJ77" s="419" t="s">
        <v>2491</v>
      </c>
      <c r="AK77" s="419" t="s">
        <v>702</v>
      </c>
      <c r="AL77" s="525" t="s">
        <v>737</v>
      </c>
      <c r="AM77" s="499" t="s">
        <v>3619</v>
      </c>
      <c r="AN77" s="197" t="s">
        <v>2272</v>
      </c>
      <c r="AO77" s="420" t="s">
        <v>4185</v>
      </c>
      <c r="AP77" s="420" t="s">
        <v>4317</v>
      </c>
      <c r="AQ77" s="420" t="s">
        <v>4318</v>
      </c>
      <c r="AR77" s="3"/>
      <c r="AS77" s="197" t="s">
        <v>3620</v>
      </c>
      <c r="AT77" s="499" t="s">
        <v>849</v>
      </c>
      <c r="AU77" s="2"/>
      <c r="AV77" s="2"/>
      <c r="AW77" s="2"/>
      <c r="AX77" s="2"/>
      <c r="AY77" s="405" t="s">
        <v>3621</v>
      </c>
      <c r="AZ77" s="197" t="s">
        <v>2272</v>
      </c>
      <c r="BA77" s="419" t="s">
        <v>1683</v>
      </c>
      <c r="BB77" s="419" t="s">
        <v>3632</v>
      </c>
      <c r="BC77" s="419" t="s">
        <v>2274</v>
      </c>
      <c r="BD77" s="525" t="s">
        <v>1684</v>
      </c>
      <c r="BE77" s="499" t="s">
        <v>3622</v>
      </c>
      <c r="BF77" s="197" t="s">
        <v>579</v>
      </c>
      <c r="BG77" s="2" t="s">
        <v>3389</v>
      </c>
      <c r="BH77" s="2" t="s">
        <v>715</v>
      </c>
      <c r="BI77" s="2" t="s">
        <v>3390</v>
      </c>
      <c r="BJ77" s="3" t="s">
        <v>2707</v>
      </c>
      <c r="BK77" s="197" t="s">
        <v>3623</v>
      </c>
      <c r="BL77" s="499" t="s">
        <v>849</v>
      </c>
      <c r="BM77" s="2" t="s">
        <v>1043</v>
      </c>
      <c r="BN77" s="2" t="s">
        <v>1044</v>
      </c>
      <c r="BO77" s="2" t="s">
        <v>1720</v>
      </c>
      <c r="BP77" s="2" t="s">
        <v>756</v>
      </c>
      <c r="BQ77" s="405"/>
      <c r="BR77" s="197"/>
      <c r="BS77" s="2"/>
      <c r="BT77" s="2"/>
      <c r="BU77" s="2"/>
      <c r="BV77" s="3"/>
      <c r="BW77" s="405"/>
      <c r="BX77" s="197"/>
      <c r="BY77" s="2"/>
      <c r="BZ77" s="2"/>
      <c r="CA77" s="2"/>
      <c r="CB77" s="3"/>
      <c r="CC77" s="499"/>
      <c r="CD77" s="197"/>
      <c r="CE77" s="2"/>
      <c r="CF77" s="2"/>
      <c r="CG77" s="2"/>
      <c r="CH77" s="3"/>
      <c r="CI77" s="197"/>
      <c r="CJ77" s="499"/>
      <c r="CK77" s="2"/>
      <c r="CL77" s="2"/>
      <c r="CM77" s="2"/>
      <c r="CN77" s="404"/>
      <c r="CO77" s="405"/>
      <c r="CP77" s="197"/>
      <c r="CQ77" s="2"/>
      <c r="CR77" s="2"/>
      <c r="CS77" s="2"/>
      <c r="CT77" s="3"/>
      <c r="CU77" s="405"/>
      <c r="CV77" s="197"/>
      <c r="CW77" s="2"/>
      <c r="CX77" s="2"/>
      <c r="CY77" s="2"/>
      <c r="CZ77" s="3"/>
      <c r="DA77" s="405"/>
      <c r="DB77" s="197"/>
      <c r="DC77" s="2"/>
      <c r="DD77" s="2"/>
      <c r="DE77" s="2"/>
      <c r="DF77" s="3"/>
      <c r="DG77" s="405"/>
      <c r="DH77" s="197"/>
      <c r="DI77" s="2"/>
      <c r="DJ77" s="2"/>
      <c r="DK77" s="2"/>
      <c r="DL77" s="3"/>
      <c r="DM77" s="405"/>
      <c r="DN77" s="197"/>
      <c r="DO77" s="2"/>
      <c r="DP77" s="2"/>
      <c r="DQ77" s="2"/>
      <c r="DR77" s="3"/>
    </row>
    <row r="78" spans="1:122" ht="12.9" customHeight="1" x14ac:dyDescent="0.2">
      <c r="A78" s="7" t="s">
        <v>2264</v>
      </c>
      <c r="B78" s="7"/>
      <c r="C78" s="197" t="s">
        <v>3221</v>
      </c>
      <c r="D78" s="197" t="s">
        <v>579</v>
      </c>
      <c r="E78" s="1" t="s">
        <v>3705</v>
      </c>
      <c r="F78" s="1" t="s">
        <v>3218</v>
      </c>
      <c r="G78" s="1" t="s">
        <v>3220</v>
      </c>
      <c r="H78" s="3" t="s">
        <v>475</v>
      </c>
      <c r="I78" s="197" t="s">
        <v>3318</v>
      </c>
      <c r="J78" s="197" t="s">
        <v>2029</v>
      </c>
      <c r="K78" s="419" t="s">
        <v>1735</v>
      </c>
      <c r="L78" s="419" t="s">
        <v>1741</v>
      </c>
      <c r="M78" s="419" t="s">
        <v>1742</v>
      </c>
      <c r="N78" s="419" t="s">
        <v>1743</v>
      </c>
      <c r="O78" s="405" t="s">
        <v>477</v>
      </c>
      <c r="P78" s="197" t="s">
        <v>1764</v>
      </c>
      <c r="Q78" s="419" t="s">
        <v>1765</v>
      </c>
      <c r="R78" s="419" t="s">
        <v>1766</v>
      </c>
      <c r="S78" s="419" t="s">
        <v>1767</v>
      </c>
      <c r="T78" s="479" t="s">
        <v>3384</v>
      </c>
      <c r="U78" s="405" t="s">
        <v>845</v>
      </c>
      <c r="V78" s="197" t="s">
        <v>3398</v>
      </c>
      <c r="W78" s="2" t="s">
        <v>368</v>
      </c>
      <c r="X78" s="2" t="s">
        <v>720</v>
      </c>
      <c r="Y78" s="2" t="s">
        <v>721</v>
      </c>
      <c r="Z78" s="2" t="s">
        <v>2555</v>
      </c>
      <c r="AA78" s="197" t="s">
        <v>372</v>
      </c>
      <c r="AB78" s="197" t="s">
        <v>817</v>
      </c>
      <c r="AC78" s="419" t="s">
        <v>306</v>
      </c>
      <c r="AD78" s="419" t="s">
        <v>2540</v>
      </c>
      <c r="AE78" s="419" t="s">
        <v>1852</v>
      </c>
      <c r="AF78" s="419" t="s">
        <v>307</v>
      </c>
      <c r="AG78" s="405" t="s">
        <v>478</v>
      </c>
      <c r="AH78" s="527" t="s">
        <v>849</v>
      </c>
      <c r="AI78" s="419" t="s">
        <v>1718</v>
      </c>
      <c r="AJ78" s="419" t="s">
        <v>1719</v>
      </c>
      <c r="AK78" s="419" t="s">
        <v>1720</v>
      </c>
      <c r="AL78" s="479" t="s">
        <v>1721</v>
      </c>
      <c r="AM78" s="197" t="s">
        <v>479</v>
      </c>
      <c r="AN78" s="527" t="s">
        <v>3433</v>
      </c>
      <c r="AO78" s="419" t="s">
        <v>1678</v>
      </c>
      <c r="AP78" s="419" t="s">
        <v>1679</v>
      </c>
      <c r="AQ78" s="419" t="s">
        <v>1680</v>
      </c>
      <c r="AR78" s="419" t="s">
        <v>1237</v>
      </c>
      <c r="AS78" s="197"/>
      <c r="AT78" s="197"/>
      <c r="AX78" s="3"/>
      <c r="AY78" s="405"/>
      <c r="AZ78" s="197"/>
      <c r="BA78" s="1"/>
      <c r="BB78" s="1"/>
      <c r="BC78" s="1"/>
      <c r="BD78" s="3"/>
      <c r="BE78" s="197"/>
      <c r="BF78" s="197"/>
      <c r="BG78" s="2"/>
      <c r="BH78" s="2"/>
      <c r="BI78" s="2"/>
      <c r="BJ78" s="3"/>
      <c r="BK78" s="197"/>
      <c r="BL78" s="197"/>
      <c r="BP78" s="3"/>
      <c r="BQ78" s="405"/>
      <c r="BR78" s="197"/>
      <c r="BS78" s="1"/>
      <c r="BT78" s="1"/>
      <c r="BU78" s="1"/>
      <c r="BV78" s="3"/>
      <c r="BW78" s="405"/>
      <c r="BX78" s="197"/>
      <c r="BY78" s="1"/>
      <c r="BZ78" s="1"/>
      <c r="CA78" s="1"/>
      <c r="CB78" s="3"/>
      <c r="CC78" s="197"/>
      <c r="CD78" s="197"/>
      <c r="CE78" s="2"/>
      <c r="CF78" s="2"/>
      <c r="CG78" s="2"/>
      <c r="CH78" s="3"/>
      <c r="CI78" s="197"/>
      <c r="CJ78" s="197"/>
      <c r="CN78" s="3"/>
      <c r="CO78" s="405"/>
      <c r="CP78" s="197"/>
      <c r="CQ78" s="1"/>
      <c r="CR78" s="1"/>
      <c r="CS78" s="1"/>
      <c r="CT78" s="3"/>
      <c r="CU78" s="405"/>
      <c r="CV78" s="197"/>
      <c r="CW78" s="1"/>
      <c r="CX78" s="1"/>
      <c r="CY78" s="1"/>
      <c r="CZ78" s="3"/>
      <c r="DA78" s="405"/>
      <c r="DB78" s="197"/>
      <c r="DC78" s="1"/>
      <c r="DD78" s="1"/>
      <c r="DE78" s="1"/>
      <c r="DF78" s="3"/>
      <c r="DG78" s="405"/>
      <c r="DH78" s="197"/>
      <c r="DI78" s="1"/>
      <c r="DJ78" s="1"/>
      <c r="DK78" s="1"/>
      <c r="DL78" s="3"/>
      <c r="DM78" s="405"/>
      <c r="DN78" s="197"/>
      <c r="DO78" s="1"/>
      <c r="DP78" s="1"/>
      <c r="DQ78" s="1"/>
      <c r="DR78" s="3"/>
    </row>
    <row r="79" spans="1:122" ht="12.9" customHeight="1" x14ac:dyDescent="0.2">
      <c r="A79" s="7" t="s">
        <v>2266</v>
      </c>
      <c r="B79" s="7">
        <v>9</v>
      </c>
      <c r="C79" s="197" t="s">
        <v>3397</v>
      </c>
      <c r="D79" s="197" t="s">
        <v>3398</v>
      </c>
      <c r="E79" s="2" t="s">
        <v>705</v>
      </c>
      <c r="F79" s="2" t="s">
        <v>369</v>
      </c>
      <c r="G79" s="2" t="s">
        <v>370</v>
      </c>
      <c r="H79" s="3" t="s">
        <v>1851</v>
      </c>
      <c r="I79" s="197" t="s">
        <v>3627</v>
      </c>
      <c r="J79" s="197" t="s">
        <v>817</v>
      </c>
      <c r="K79" s="419" t="s">
        <v>306</v>
      </c>
      <c r="L79" s="419" t="s">
        <v>2540</v>
      </c>
      <c r="M79" s="419" t="s">
        <v>1852</v>
      </c>
      <c r="N79" s="419" t="s">
        <v>307</v>
      </c>
      <c r="O79" s="197" t="s">
        <v>856</v>
      </c>
      <c r="P79" s="197" t="s">
        <v>2804</v>
      </c>
      <c r="Q79" s="1" t="s">
        <v>145</v>
      </c>
      <c r="R79" s="1" t="s">
        <v>290</v>
      </c>
      <c r="S79" s="1" t="s">
        <v>2191</v>
      </c>
      <c r="T79" s="3" t="s">
        <v>857</v>
      </c>
      <c r="U79" s="197" t="s">
        <v>400</v>
      </c>
      <c r="V79" s="197" t="s">
        <v>579</v>
      </c>
      <c r="W79" s="419" t="s">
        <v>3389</v>
      </c>
      <c r="X79" s="419" t="s">
        <v>581</v>
      </c>
      <c r="Y79" s="419" t="s">
        <v>718</v>
      </c>
      <c r="Z79" s="419" t="s">
        <v>2707</v>
      </c>
      <c r="AA79" s="197" t="s">
        <v>854</v>
      </c>
      <c r="AB79" s="197" t="s">
        <v>421</v>
      </c>
      <c r="AC79" s="1" t="s">
        <v>223</v>
      </c>
      <c r="AD79" s="1" t="s">
        <v>446</v>
      </c>
      <c r="AE79" s="1" t="s">
        <v>2332</v>
      </c>
      <c r="AF79" s="3" t="s">
        <v>2187</v>
      </c>
      <c r="AG79" s="405" t="s">
        <v>401</v>
      </c>
      <c r="AH79" s="197" t="s">
        <v>703</v>
      </c>
      <c r="AI79" s="419" t="s">
        <v>691</v>
      </c>
      <c r="AJ79" s="419" t="s">
        <v>1707</v>
      </c>
      <c r="AK79" s="419" t="s">
        <v>1708</v>
      </c>
      <c r="AL79" s="479" t="s">
        <v>3702</v>
      </c>
      <c r="AM79" s="197" t="s">
        <v>3221</v>
      </c>
      <c r="AN79" s="197" t="s">
        <v>579</v>
      </c>
      <c r="AO79" s="1" t="s">
        <v>3705</v>
      </c>
      <c r="AP79" s="1" t="s">
        <v>3218</v>
      </c>
      <c r="AQ79" s="1" t="s">
        <v>3220</v>
      </c>
      <c r="AR79" s="3" t="s">
        <v>475</v>
      </c>
      <c r="AS79" s="197" t="s">
        <v>402</v>
      </c>
      <c r="AT79" s="197" t="s">
        <v>2272</v>
      </c>
      <c r="AU79" s="419" t="s">
        <v>3387</v>
      </c>
      <c r="AV79" s="419" t="s">
        <v>2742</v>
      </c>
      <c r="AW79" s="419" t="s">
        <v>1279</v>
      </c>
      <c r="AX79" s="419" t="s">
        <v>1732</v>
      </c>
      <c r="AY79" s="405"/>
      <c r="AZ79" s="197"/>
      <c r="BA79" s="2"/>
      <c r="BB79" s="2"/>
      <c r="BC79" s="2"/>
      <c r="BD79" s="3"/>
      <c r="BE79" s="197"/>
      <c r="BF79" s="197"/>
      <c r="BH79" s="2"/>
      <c r="BJ79" s="3"/>
      <c r="BK79" s="197"/>
      <c r="BL79" s="197"/>
      <c r="BM79" s="2"/>
      <c r="BN79" s="2"/>
      <c r="BO79" s="2"/>
      <c r="BP79" s="2"/>
      <c r="BQ79" s="405"/>
      <c r="BR79" s="197"/>
      <c r="BS79" s="2"/>
      <c r="BT79" s="2"/>
      <c r="BU79" s="2"/>
      <c r="BV79" s="3"/>
      <c r="BW79" s="405"/>
      <c r="BX79" s="197"/>
      <c r="BY79" s="2"/>
      <c r="BZ79" s="2"/>
      <c r="CA79" s="2"/>
      <c r="CB79" s="3"/>
      <c r="CC79" s="197"/>
      <c r="CD79" s="197"/>
      <c r="CF79" s="2"/>
      <c r="CH79" s="3"/>
      <c r="CI79" s="197"/>
      <c r="CJ79" s="197"/>
      <c r="CK79" s="2"/>
      <c r="CL79" s="2"/>
      <c r="CM79" s="2"/>
      <c r="CN79" s="3"/>
      <c r="CO79" s="405"/>
      <c r="CP79" s="197"/>
      <c r="CQ79" s="2"/>
      <c r="CR79" s="2"/>
      <c r="CS79" s="2"/>
      <c r="CT79" s="3"/>
      <c r="CU79" s="405"/>
      <c r="CV79" s="197"/>
      <c r="CW79" s="2"/>
      <c r="CX79" s="2"/>
      <c r="CY79" s="2"/>
      <c r="CZ79" s="3"/>
      <c r="DA79" s="405"/>
      <c r="DB79" s="197"/>
      <c r="DC79" s="2"/>
      <c r="DD79" s="2"/>
      <c r="DE79" s="2"/>
      <c r="DF79" s="3"/>
      <c r="DG79" s="405"/>
      <c r="DH79" s="197"/>
      <c r="DI79" s="2"/>
      <c r="DJ79" s="2"/>
      <c r="DK79" s="2"/>
      <c r="DL79" s="3"/>
      <c r="DM79" s="405"/>
      <c r="DN79" s="197"/>
      <c r="DO79" s="2"/>
      <c r="DP79" s="2"/>
      <c r="DQ79" s="2"/>
      <c r="DR79" s="3"/>
    </row>
    <row r="80" spans="1:122" ht="12.9" customHeight="1" x14ac:dyDescent="0.2">
      <c r="A80" s="7" t="s">
        <v>2275</v>
      </c>
      <c r="B80" s="7"/>
      <c r="C80" s="512" t="s">
        <v>723</v>
      </c>
      <c r="D80" s="197"/>
      <c r="E80" s="1" t="s">
        <v>3215</v>
      </c>
      <c r="F80" s="1" t="s">
        <v>3215</v>
      </c>
      <c r="G80" s="1" t="s">
        <v>3215</v>
      </c>
      <c r="H80" s="1" t="s">
        <v>3215</v>
      </c>
      <c r="I80" s="405" t="s">
        <v>3215</v>
      </c>
      <c r="J80" s="197" t="s">
        <v>3215</v>
      </c>
      <c r="K80" s="2" t="s">
        <v>3215</v>
      </c>
      <c r="L80" s="2" t="s">
        <v>3215</v>
      </c>
      <c r="M80" s="2" t="s">
        <v>3215</v>
      </c>
      <c r="N80" s="2" t="s">
        <v>3215</v>
      </c>
      <c r="O80" s="405" t="s">
        <v>3215</v>
      </c>
      <c r="P80" s="197" t="s">
        <v>3215</v>
      </c>
      <c r="Q80" s="2" t="s">
        <v>3215</v>
      </c>
      <c r="R80" s="2" t="s">
        <v>3215</v>
      </c>
      <c r="S80" s="2" t="s">
        <v>3215</v>
      </c>
      <c r="T80" s="3" t="s">
        <v>3215</v>
      </c>
      <c r="U80" s="512" t="s">
        <v>723</v>
      </c>
      <c r="V80" s="197"/>
      <c r="W80" s="1" t="s">
        <v>3215</v>
      </c>
      <c r="X80" s="1" t="s">
        <v>3215</v>
      </c>
      <c r="Y80" s="1" t="s">
        <v>3215</v>
      </c>
      <c r="Z80" s="1" t="s">
        <v>3215</v>
      </c>
      <c r="AA80" s="405" t="s">
        <v>3215</v>
      </c>
      <c r="AB80" s="197" t="s">
        <v>3215</v>
      </c>
      <c r="AC80" s="2" t="s">
        <v>3215</v>
      </c>
      <c r="AD80" s="2" t="s">
        <v>3215</v>
      </c>
      <c r="AE80" s="2" t="s">
        <v>3215</v>
      </c>
      <c r="AF80" s="2" t="s">
        <v>3215</v>
      </c>
      <c r="AG80" s="405" t="s">
        <v>3215</v>
      </c>
      <c r="AH80" s="197" t="s">
        <v>3215</v>
      </c>
      <c r="AI80" s="2" t="s">
        <v>3215</v>
      </c>
      <c r="AJ80" s="2" t="s">
        <v>3215</v>
      </c>
      <c r="AK80" s="2" t="s">
        <v>3215</v>
      </c>
      <c r="AL80" s="3" t="s">
        <v>3215</v>
      </c>
      <c r="AM80" s="512" t="s">
        <v>723</v>
      </c>
      <c r="AN80" s="197"/>
      <c r="AO80" s="1" t="s">
        <v>3215</v>
      </c>
      <c r="AP80" s="1" t="s">
        <v>3215</v>
      </c>
      <c r="AQ80" s="1" t="s">
        <v>3215</v>
      </c>
      <c r="AR80" s="1" t="s">
        <v>3215</v>
      </c>
      <c r="AS80" s="405" t="s">
        <v>3215</v>
      </c>
      <c r="AT80" s="197" t="s">
        <v>3215</v>
      </c>
      <c r="AU80" s="2" t="s">
        <v>3215</v>
      </c>
      <c r="AV80" s="2" t="s">
        <v>3215</v>
      </c>
      <c r="AW80" s="2" t="s">
        <v>3215</v>
      </c>
      <c r="AX80" s="2" t="s">
        <v>3215</v>
      </c>
      <c r="AY80" s="405" t="s">
        <v>3215</v>
      </c>
      <c r="AZ80" s="197" t="s">
        <v>3215</v>
      </c>
      <c r="BA80" s="2" t="s">
        <v>3215</v>
      </c>
      <c r="BB80" s="2" t="s">
        <v>3215</v>
      </c>
      <c r="BC80" s="2" t="s">
        <v>3215</v>
      </c>
      <c r="BD80" s="3" t="s">
        <v>3215</v>
      </c>
      <c r="BE80" s="512" t="s">
        <v>723</v>
      </c>
      <c r="BF80" s="197"/>
      <c r="BG80" s="1" t="s">
        <v>3215</v>
      </c>
      <c r="BH80" s="1" t="s">
        <v>3215</v>
      </c>
      <c r="BI80" s="1" t="s">
        <v>3215</v>
      </c>
      <c r="BJ80" s="1" t="s">
        <v>3215</v>
      </c>
      <c r="BK80" s="405" t="s">
        <v>3215</v>
      </c>
      <c r="BL80" s="197" t="s">
        <v>3215</v>
      </c>
      <c r="BM80" s="2" t="s">
        <v>3215</v>
      </c>
      <c r="BN80" s="2" t="s">
        <v>3215</v>
      </c>
      <c r="BO80" s="2" t="s">
        <v>3215</v>
      </c>
      <c r="BP80" s="2" t="s">
        <v>3215</v>
      </c>
      <c r="BQ80" s="405" t="s">
        <v>3215</v>
      </c>
      <c r="BR80" s="197" t="s">
        <v>3215</v>
      </c>
      <c r="BS80" s="2" t="s">
        <v>3215</v>
      </c>
      <c r="BT80" s="2" t="s">
        <v>3215</v>
      </c>
      <c r="BU80" s="2" t="s">
        <v>3215</v>
      </c>
      <c r="BV80" s="3" t="s">
        <v>3215</v>
      </c>
      <c r="BW80" s="405" t="s">
        <v>3215</v>
      </c>
      <c r="BX80" s="197" t="s">
        <v>3215</v>
      </c>
      <c r="BY80" s="2" t="s">
        <v>3215</v>
      </c>
      <c r="BZ80" s="2" t="s">
        <v>3215</v>
      </c>
      <c r="CA80" s="2" t="s">
        <v>3215</v>
      </c>
      <c r="CB80" s="3" t="s">
        <v>3215</v>
      </c>
      <c r="CC80" s="512" t="s">
        <v>723</v>
      </c>
      <c r="CD80" s="197"/>
      <c r="CE80" s="1" t="s">
        <v>3215</v>
      </c>
      <c r="CF80" s="1" t="s">
        <v>3215</v>
      </c>
      <c r="CG80" s="1" t="s">
        <v>3215</v>
      </c>
      <c r="CH80" s="1" t="s">
        <v>3215</v>
      </c>
      <c r="CI80" s="405" t="s">
        <v>3215</v>
      </c>
      <c r="CJ80" s="197" t="s">
        <v>3215</v>
      </c>
      <c r="CK80" s="2" t="s">
        <v>3215</v>
      </c>
      <c r="CL80" s="2" t="s">
        <v>3215</v>
      </c>
      <c r="CM80" s="2" t="s">
        <v>3215</v>
      </c>
      <c r="CN80" s="3" t="s">
        <v>3215</v>
      </c>
      <c r="CO80" s="405" t="s">
        <v>3215</v>
      </c>
      <c r="CP80" s="197" t="s">
        <v>3215</v>
      </c>
      <c r="CQ80" s="2" t="s">
        <v>3215</v>
      </c>
      <c r="CR80" s="2" t="s">
        <v>3215</v>
      </c>
      <c r="CS80" s="2" t="s">
        <v>3215</v>
      </c>
      <c r="CT80" s="3" t="s">
        <v>3215</v>
      </c>
      <c r="CU80" s="405" t="s">
        <v>3215</v>
      </c>
      <c r="CV80" s="197" t="s">
        <v>3215</v>
      </c>
      <c r="CW80" s="2" t="s">
        <v>3215</v>
      </c>
      <c r="CX80" s="2" t="s">
        <v>3215</v>
      </c>
      <c r="CY80" s="2" t="s">
        <v>3215</v>
      </c>
      <c r="CZ80" s="3" t="s">
        <v>3215</v>
      </c>
      <c r="DA80" s="405" t="s">
        <v>3215</v>
      </c>
      <c r="DB80" s="197" t="s">
        <v>3215</v>
      </c>
      <c r="DC80" s="2" t="s">
        <v>3215</v>
      </c>
      <c r="DD80" s="2" t="s">
        <v>3215</v>
      </c>
      <c r="DE80" s="2" t="s">
        <v>3215</v>
      </c>
      <c r="DF80" s="3" t="s">
        <v>3215</v>
      </c>
      <c r="DG80" s="405" t="s">
        <v>3215</v>
      </c>
      <c r="DH80" s="197" t="s">
        <v>3215</v>
      </c>
      <c r="DI80" s="2" t="s">
        <v>3215</v>
      </c>
      <c r="DJ80" s="2" t="s">
        <v>3215</v>
      </c>
      <c r="DK80" s="2" t="s">
        <v>3215</v>
      </c>
      <c r="DL80" s="3" t="s">
        <v>3215</v>
      </c>
      <c r="DM80" s="405" t="s">
        <v>3215</v>
      </c>
      <c r="DN80" s="197" t="s">
        <v>3215</v>
      </c>
      <c r="DO80" s="2" t="s">
        <v>3215</v>
      </c>
      <c r="DP80" s="2" t="s">
        <v>3215</v>
      </c>
      <c r="DQ80" s="2" t="s">
        <v>3215</v>
      </c>
      <c r="DR80" s="3" t="s">
        <v>3215</v>
      </c>
    </row>
    <row r="81" spans="1:122" ht="12.9" customHeight="1" x14ac:dyDescent="0.2">
      <c r="A81" s="7" t="s">
        <v>2276</v>
      </c>
      <c r="B81" s="7"/>
      <c r="C81" s="513" t="s">
        <v>2277</v>
      </c>
      <c r="D81" s="197"/>
      <c r="F81" s="1" t="s">
        <v>3215</v>
      </c>
      <c r="G81" s="1" t="s">
        <v>3215</v>
      </c>
      <c r="H81" s="1" t="s">
        <v>3215</v>
      </c>
      <c r="I81" s="405" t="s">
        <v>3215</v>
      </c>
      <c r="J81" s="197" t="s">
        <v>3215</v>
      </c>
      <c r="K81" s="2" t="s">
        <v>3215</v>
      </c>
      <c r="L81" s="2" t="s">
        <v>3215</v>
      </c>
      <c r="M81" s="2" t="s">
        <v>3215</v>
      </c>
      <c r="N81" s="2" t="s">
        <v>3215</v>
      </c>
      <c r="O81" s="405" t="s">
        <v>3215</v>
      </c>
      <c r="P81" s="197" t="s">
        <v>3215</v>
      </c>
      <c r="Q81" s="2" t="s">
        <v>3215</v>
      </c>
      <c r="R81" s="2" t="s">
        <v>3215</v>
      </c>
      <c r="S81" s="2" t="s">
        <v>3215</v>
      </c>
      <c r="T81" s="3" t="s">
        <v>3215</v>
      </c>
      <c r="U81" s="513" t="s">
        <v>2277</v>
      </c>
      <c r="V81" s="197"/>
      <c r="X81" s="1" t="s">
        <v>3215</v>
      </c>
      <c r="Y81" s="1" t="s">
        <v>3215</v>
      </c>
      <c r="Z81" s="1" t="s">
        <v>3215</v>
      </c>
      <c r="AA81" s="405" t="s">
        <v>3215</v>
      </c>
      <c r="AB81" s="197" t="s">
        <v>3215</v>
      </c>
      <c r="AC81" s="2" t="s">
        <v>3215</v>
      </c>
      <c r="AD81" s="2" t="s">
        <v>3215</v>
      </c>
      <c r="AE81" s="2" t="s">
        <v>3215</v>
      </c>
      <c r="AF81" s="2" t="s">
        <v>3215</v>
      </c>
      <c r="AG81" s="405" t="s">
        <v>3215</v>
      </c>
      <c r="AH81" s="197" t="s">
        <v>3215</v>
      </c>
      <c r="AI81" s="2" t="s">
        <v>3215</v>
      </c>
      <c r="AJ81" s="2" t="s">
        <v>3215</v>
      </c>
      <c r="AK81" s="2" t="s">
        <v>3215</v>
      </c>
      <c r="AL81" s="3" t="s">
        <v>3215</v>
      </c>
      <c r="AM81" s="513" t="s">
        <v>2277</v>
      </c>
      <c r="AN81" s="197"/>
      <c r="AP81" s="1" t="s">
        <v>3215</v>
      </c>
      <c r="AQ81" s="1" t="s">
        <v>3215</v>
      </c>
      <c r="AR81" s="1" t="s">
        <v>3215</v>
      </c>
      <c r="AS81" s="405" t="s">
        <v>3215</v>
      </c>
      <c r="AT81" s="197" t="s">
        <v>3215</v>
      </c>
      <c r="AU81" s="2" t="s">
        <v>3215</v>
      </c>
      <c r="AV81" s="2" t="s">
        <v>3215</v>
      </c>
      <c r="AW81" s="2" t="s">
        <v>3215</v>
      </c>
      <c r="AX81" s="2" t="s">
        <v>3215</v>
      </c>
      <c r="AY81" s="405" t="s">
        <v>3215</v>
      </c>
      <c r="AZ81" s="197" t="s">
        <v>3215</v>
      </c>
      <c r="BA81" s="2" t="s">
        <v>3215</v>
      </c>
      <c r="BB81" s="2" t="s">
        <v>3215</v>
      </c>
      <c r="BC81" s="2" t="s">
        <v>3215</v>
      </c>
      <c r="BD81" s="3" t="s">
        <v>3215</v>
      </c>
      <c r="BE81" s="513" t="s">
        <v>2277</v>
      </c>
      <c r="BF81" s="197"/>
      <c r="BH81" s="1" t="s">
        <v>3215</v>
      </c>
      <c r="BI81" s="1" t="s">
        <v>3215</v>
      </c>
      <c r="BJ81" s="1" t="s">
        <v>3215</v>
      </c>
      <c r="BK81" s="405" t="s">
        <v>3215</v>
      </c>
      <c r="BL81" s="197" t="s">
        <v>3215</v>
      </c>
      <c r="BM81" s="2" t="s">
        <v>3215</v>
      </c>
      <c r="BN81" s="2" t="s">
        <v>3215</v>
      </c>
      <c r="BO81" s="2" t="s">
        <v>3215</v>
      </c>
      <c r="BP81" s="2" t="s">
        <v>3215</v>
      </c>
      <c r="BQ81" s="405" t="s">
        <v>3215</v>
      </c>
      <c r="BR81" s="197" t="s">
        <v>3215</v>
      </c>
      <c r="BS81" s="2" t="s">
        <v>3215</v>
      </c>
      <c r="BT81" s="2" t="s">
        <v>3215</v>
      </c>
      <c r="BU81" s="2" t="s">
        <v>3215</v>
      </c>
      <c r="BV81" s="3" t="s">
        <v>3215</v>
      </c>
      <c r="BW81" s="405" t="s">
        <v>3215</v>
      </c>
      <c r="BX81" s="197" t="s">
        <v>3215</v>
      </c>
      <c r="BY81" s="2" t="s">
        <v>3215</v>
      </c>
      <c r="BZ81" s="2" t="s">
        <v>3215</v>
      </c>
      <c r="CA81" s="2" t="s">
        <v>3215</v>
      </c>
      <c r="CB81" s="3" t="s">
        <v>3215</v>
      </c>
      <c r="CC81" s="513" t="s">
        <v>2277</v>
      </c>
      <c r="CD81" s="197"/>
      <c r="CF81" s="1" t="s">
        <v>3215</v>
      </c>
      <c r="CG81" s="1" t="s">
        <v>3215</v>
      </c>
      <c r="CH81" s="1" t="s">
        <v>3215</v>
      </c>
      <c r="CI81" s="405" t="s">
        <v>3215</v>
      </c>
      <c r="CJ81" s="197" t="s">
        <v>3215</v>
      </c>
      <c r="CK81" s="2" t="s">
        <v>3215</v>
      </c>
      <c r="CL81" s="2" t="s">
        <v>3215</v>
      </c>
      <c r="CM81" s="2" t="s">
        <v>3215</v>
      </c>
      <c r="CN81" s="3" t="s">
        <v>3215</v>
      </c>
      <c r="CO81" s="405" t="s">
        <v>3215</v>
      </c>
      <c r="CP81" s="197" t="s">
        <v>3215</v>
      </c>
      <c r="CQ81" s="2" t="s">
        <v>3215</v>
      </c>
      <c r="CR81" s="2" t="s">
        <v>3215</v>
      </c>
      <c r="CS81" s="2" t="s">
        <v>3215</v>
      </c>
      <c r="CT81" s="3" t="s">
        <v>3215</v>
      </c>
      <c r="CU81" s="405" t="s">
        <v>3215</v>
      </c>
      <c r="CV81" s="197" t="s">
        <v>3215</v>
      </c>
      <c r="CW81" s="2" t="s">
        <v>3215</v>
      </c>
      <c r="CX81" s="2" t="s">
        <v>3215</v>
      </c>
      <c r="CY81" s="2" t="s">
        <v>3215</v>
      </c>
      <c r="CZ81" s="3" t="s">
        <v>3215</v>
      </c>
      <c r="DA81" s="405" t="s">
        <v>3215</v>
      </c>
      <c r="DB81" s="197" t="s">
        <v>3215</v>
      </c>
      <c r="DC81" s="2" t="s">
        <v>3215</v>
      </c>
      <c r="DD81" s="2" t="s">
        <v>3215</v>
      </c>
      <c r="DE81" s="2" t="s">
        <v>3215</v>
      </c>
      <c r="DF81" s="3" t="s">
        <v>3215</v>
      </c>
      <c r="DG81" s="405" t="s">
        <v>3215</v>
      </c>
      <c r="DH81" s="197" t="s">
        <v>3215</v>
      </c>
      <c r="DI81" s="2" t="s">
        <v>3215</v>
      </c>
      <c r="DJ81" s="2" t="s">
        <v>3215</v>
      </c>
      <c r="DK81" s="2" t="s">
        <v>3215</v>
      </c>
      <c r="DL81" s="3" t="s">
        <v>3215</v>
      </c>
      <c r="DM81" s="405" t="s">
        <v>3215</v>
      </c>
      <c r="DN81" s="197" t="s">
        <v>3215</v>
      </c>
      <c r="DO81" s="2" t="s">
        <v>3215</v>
      </c>
      <c r="DP81" s="2" t="s">
        <v>3215</v>
      </c>
      <c r="DQ81" s="2" t="s">
        <v>3215</v>
      </c>
      <c r="DR81" s="3" t="s">
        <v>3215</v>
      </c>
    </row>
    <row r="82" spans="1:122" ht="12.9" customHeight="1" x14ac:dyDescent="0.2">
      <c r="A82" s="7" t="s">
        <v>2278</v>
      </c>
      <c r="B82" s="7">
        <v>11</v>
      </c>
      <c r="C82" s="197" t="s">
        <v>394</v>
      </c>
      <c r="D82" s="197" t="s">
        <v>517</v>
      </c>
      <c r="E82" s="419" t="s">
        <v>4185</v>
      </c>
      <c r="F82" s="419" t="s">
        <v>1696</v>
      </c>
      <c r="G82" s="419" t="s">
        <v>1697</v>
      </c>
      <c r="H82" s="419" t="s">
        <v>3248</v>
      </c>
      <c r="I82" s="405" t="s">
        <v>3400</v>
      </c>
      <c r="J82" s="197" t="s">
        <v>2804</v>
      </c>
      <c r="K82" s="1" t="s">
        <v>145</v>
      </c>
      <c r="L82" s="1" t="s">
        <v>290</v>
      </c>
      <c r="M82" s="1" t="s">
        <v>1615</v>
      </c>
      <c r="N82" s="1" t="s">
        <v>857</v>
      </c>
      <c r="O82" s="405" t="s">
        <v>22</v>
      </c>
      <c r="P82" s="197" t="s">
        <v>2272</v>
      </c>
      <c r="Q82" s="2" t="s">
        <v>1880</v>
      </c>
      <c r="R82" s="2" t="s">
        <v>2345</v>
      </c>
      <c r="S82" s="2" t="s">
        <v>276</v>
      </c>
      <c r="T82" s="3" t="s">
        <v>2466</v>
      </c>
      <c r="U82" s="197" t="s">
        <v>792</v>
      </c>
      <c r="V82" s="197" t="s">
        <v>1860</v>
      </c>
      <c r="W82" s="2" t="s">
        <v>1861</v>
      </c>
      <c r="X82" s="2" t="s">
        <v>1862</v>
      </c>
      <c r="Y82" s="2" t="s">
        <v>2190</v>
      </c>
      <c r="Z82" s="3" t="s">
        <v>794</v>
      </c>
      <c r="AA82" s="405" t="s">
        <v>16</v>
      </c>
      <c r="AB82" s="197" t="s">
        <v>17</v>
      </c>
      <c r="AC82" s="2" t="s">
        <v>3633</v>
      </c>
      <c r="AD82" s="2" t="s">
        <v>1338</v>
      </c>
      <c r="AE82" s="2" t="s">
        <v>2281</v>
      </c>
      <c r="AF82" s="2" t="s">
        <v>2189</v>
      </c>
      <c r="AG82" s="405"/>
      <c r="AH82" s="197"/>
      <c r="AI82" s="1"/>
      <c r="AJ82" s="1"/>
      <c r="AK82" s="1"/>
      <c r="AL82" s="3"/>
      <c r="AM82" s="197"/>
      <c r="AN82" s="197"/>
      <c r="AS82" s="405"/>
      <c r="AT82" s="197"/>
      <c r="AY82" s="405"/>
      <c r="AZ82" s="197"/>
      <c r="BA82" s="1"/>
      <c r="BB82" s="1"/>
      <c r="BC82" s="1"/>
      <c r="BD82" s="3"/>
      <c r="BE82" s="197"/>
      <c r="BF82" s="197"/>
      <c r="BK82" s="405"/>
      <c r="BL82" s="197"/>
      <c r="BQ82" s="405"/>
      <c r="BR82" s="197"/>
      <c r="BS82" s="1"/>
      <c r="BT82" s="1"/>
      <c r="BU82" s="1"/>
      <c r="BV82" s="3"/>
      <c r="BW82" s="405"/>
      <c r="BX82" s="197"/>
      <c r="BY82" s="1"/>
      <c r="BZ82" s="1"/>
      <c r="CA82" s="1"/>
      <c r="CB82" s="3"/>
      <c r="CC82" s="197"/>
      <c r="CD82" s="197"/>
      <c r="CI82" s="405"/>
      <c r="CJ82" s="197"/>
      <c r="CN82" s="3"/>
      <c r="CO82" s="405"/>
      <c r="CP82" s="197"/>
      <c r="CQ82" s="1"/>
      <c r="CR82" s="1"/>
      <c r="CS82" s="1"/>
      <c r="CT82" s="3"/>
      <c r="CU82" s="405"/>
      <c r="CV82" s="197"/>
      <c r="CW82" s="1"/>
      <c r="CX82" s="1"/>
      <c r="CY82" s="1"/>
      <c r="CZ82" s="3"/>
      <c r="DA82" s="405"/>
      <c r="DB82" s="197"/>
      <c r="DC82" s="1"/>
      <c r="DD82" s="1"/>
      <c r="DE82" s="1"/>
      <c r="DF82" s="3"/>
      <c r="DG82" s="405"/>
      <c r="DH82" s="197"/>
      <c r="DI82" s="1"/>
      <c r="DJ82" s="1"/>
      <c r="DK82" s="1"/>
      <c r="DL82" s="3"/>
      <c r="DM82" s="405"/>
      <c r="DN82" s="197"/>
      <c r="DO82" s="1"/>
      <c r="DP82" s="1"/>
      <c r="DQ82" s="1"/>
      <c r="DR82" s="3"/>
    </row>
    <row r="83" spans="1:122" ht="12.9" customHeight="1" x14ac:dyDescent="0.2">
      <c r="A83" s="7" t="s">
        <v>2791</v>
      </c>
      <c r="B83" s="7">
        <v>10</v>
      </c>
      <c r="C83" s="197" t="s">
        <v>860</v>
      </c>
      <c r="D83" s="197" t="s">
        <v>861</v>
      </c>
      <c r="E83" s="1" t="s">
        <v>763</v>
      </c>
      <c r="F83" s="1" t="s">
        <v>865</v>
      </c>
      <c r="G83" s="1" t="s">
        <v>864</v>
      </c>
      <c r="H83" s="3" t="s">
        <v>764</v>
      </c>
      <c r="I83" s="405" t="s">
        <v>395</v>
      </c>
      <c r="J83" s="197" t="s">
        <v>517</v>
      </c>
      <c r="K83" s="1" t="s">
        <v>740</v>
      </c>
      <c r="L83" s="1" t="s">
        <v>741</v>
      </c>
      <c r="M83" s="1" t="s">
        <v>742</v>
      </c>
      <c r="N83" s="1" t="s">
        <v>743</v>
      </c>
      <c r="O83" s="405" t="s">
        <v>396</v>
      </c>
      <c r="P83" s="197" t="s">
        <v>3433</v>
      </c>
      <c r="Q83" s="1" t="s">
        <v>3674</v>
      </c>
      <c r="R83" s="1" t="s">
        <v>2812</v>
      </c>
      <c r="S83" s="1" t="s">
        <v>744</v>
      </c>
      <c r="T83" s="3" t="s">
        <v>745</v>
      </c>
      <c r="U83" s="197" t="s">
        <v>397</v>
      </c>
      <c r="V83" s="197"/>
      <c r="AA83" s="405"/>
      <c r="AB83" s="197"/>
      <c r="AC83" s="2"/>
      <c r="AD83" s="2"/>
      <c r="AE83" s="2"/>
      <c r="AF83" s="3"/>
      <c r="AG83" s="405"/>
      <c r="AH83" s="197"/>
      <c r="AI83" s="1"/>
      <c r="AJ83" s="1"/>
      <c r="AK83" s="1"/>
      <c r="AL83" s="3"/>
      <c r="AM83" s="197"/>
      <c r="AN83" s="197"/>
      <c r="AS83" s="405"/>
      <c r="AT83" s="197"/>
      <c r="AU83" s="2"/>
      <c r="AV83" s="2"/>
      <c r="AW83" s="2"/>
      <c r="AX83" s="3"/>
      <c r="AY83" s="405"/>
      <c r="AZ83" s="197"/>
      <c r="BA83" s="1"/>
      <c r="BB83" s="1"/>
      <c r="BC83" s="1"/>
      <c r="BD83" s="3"/>
      <c r="BE83" s="197"/>
      <c r="BF83" s="197"/>
      <c r="BK83" s="405"/>
      <c r="BL83" s="197"/>
      <c r="BM83" s="2"/>
      <c r="BN83" s="2"/>
      <c r="BO83" s="2"/>
      <c r="BP83" s="3"/>
      <c r="BQ83" s="405"/>
      <c r="BR83" s="197"/>
      <c r="BS83" s="1"/>
      <c r="BT83" s="1"/>
      <c r="BU83" s="1"/>
      <c r="BV83" s="3"/>
      <c r="BW83" s="405"/>
      <c r="BX83" s="197"/>
      <c r="BY83" s="1"/>
      <c r="BZ83" s="1"/>
      <c r="CA83" s="1"/>
      <c r="CB83" s="3"/>
      <c r="CC83" s="197"/>
      <c r="CD83" s="197"/>
      <c r="CI83" s="405"/>
      <c r="CJ83" s="197"/>
      <c r="CK83" s="2"/>
      <c r="CL83" s="2"/>
      <c r="CM83" s="2"/>
      <c r="CN83" s="3"/>
      <c r="CO83" s="405"/>
      <c r="CP83" s="197"/>
      <c r="CQ83" s="1"/>
      <c r="CR83" s="1"/>
      <c r="CS83" s="1"/>
      <c r="CT83" s="3"/>
      <c r="CU83" s="405"/>
      <c r="CV83" s="197"/>
      <c r="CW83" s="1"/>
      <c r="CX83" s="1"/>
      <c r="CY83" s="1"/>
      <c r="CZ83" s="3"/>
      <c r="DA83" s="405"/>
      <c r="DB83" s="197"/>
      <c r="DC83" s="1"/>
      <c r="DD83" s="1"/>
      <c r="DE83" s="1"/>
      <c r="DF83" s="3"/>
      <c r="DG83" s="405"/>
      <c r="DH83" s="197"/>
      <c r="DI83" s="1"/>
      <c r="DJ83" s="1"/>
      <c r="DK83" s="1"/>
      <c r="DL83" s="3"/>
      <c r="DM83" s="405"/>
      <c r="DN83" s="197"/>
      <c r="DO83" s="1"/>
      <c r="DP83" s="1"/>
      <c r="DQ83" s="1"/>
      <c r="DR83" s="3"/>
    </row>
    <row r="84" spans="1:122" ht="12.9" customHeight="1" x14ac:dyDescent="0.2">
      <c r="A84" s="7" t="s">
        <v>2249</v>
      </c>
      <c r="B84" s="7">
        <v>16</v>
      </c>
      <c r="C84" s="197" t="s">
        <v>3437</v>
      </c>
      <c r="D84" s="197" t="s">
        <v>579</v>
      </c>
      <c r="E84" s="1" t="s">
        <v>746</v>
      </c>
      <c r="F84" s="1" t="s">
        <v>1831</v>
      </c>
      <c r="G84" s="1" t="s">
        <v>296</v>
      </c>
      <c r="H84" s="1" t="s">
        <v>297</v>
      </c>
      <c r="I84" s="405" t="s">
        <v>3438</v>
      </c>
      <c r="J84" s="197" t="s">
        <v>579</v>
      </c>
      <c r="K84" s="1" t="s">
        <v>800</v>
      </c>
      <c r="L84" s="1" t="s">
        <v>3219</v>
      </c>
      <c r="M84" s="1" t="s">
        <v>752</v>
      </c>
      <c r="N84" s="3" t="s">
        <v>753</v>
      </c>
      <c r="O84" s="405" t="s">
        <v>3439</v>
      </c>
      <c r="P84" s="197" t="s">
        <v>4177</v>
      </c>
      <c r="Q84" s="2" t="s">
        <v>2472</v>
      </c>
      <c r="R84" s="2" t="s">
        <v>3924</v>
      </c>
      <c r="S84" s="2" t="s">
        <v>747</v>
      </c>
      <c r="T84" s="3" t="s">
        <v>748</v>
      </c>
      <c r="U84" s="197" t="s">
        <v>395</v>
      </c>
      <c r="V84" s="197" t="s">
        <v>517</v>
      </c>
      <c r="W84" s="1" t="s">
        <v>740</v>
      </c>
      <c r="X84" s="1" t="s">
        <v>741</v>
      </c>
      <c r="Y84" s="1" t="s">
        <v>742</v>
      </c>
      <c r="Z84" s="1" t="s">
        <v>743</v>
      </c>
      <c r="AA84" s="405" t="s">
        <v>3440</v>
      </c>
      <c r="AB84" s="527" t="s">
        <v>1736</v>
      </c>
      <c r="AC84" s="419" t="s">
        <v>802</v>
      </c>
      <c r="AD84" s="419" t="s">
        <v>2540</v>
      </c>
      <c r="AE84" s="419" t="s">
        <v>1852</v>
      </c>
      <c r="AF84" s="419" t="s">
        <v>758</v>
      </c>
      <c r="AG84" s="197" t="s">
        <v>4288</v>
      </c>
      <c r="AH84" s="479" t="s">
        <v>4177</v>
      </c>
      <c r="AI84" s="419" t="s">
        <v>1762</v>
      </c>
      <c r="AJ84" s="419" t="s">
        <v>868</v>
      </c>
      <c r="AK84" s="419" t="s">
        <v>1763</v>
      </c>
      <c r="AL84" s="479" t="s">
        <v>3669</v>
      </c>
      <c r="AM84" s="405" t="s">
        <v>3110</v>
      </c>
      <c r="AN84" s="197" t="s">
        <v>517</v>
      </c>
      <c r="AO84" s="2" t="s">
        <v>2795</v>
      </c>
      <c r="AP84" s="2" t="s">
        <v>2486</v>
      </c>
      <c r="AQ84" s="2" t="s">
        <v>3187</v>
      </c>
      <c r="AR84" s="3" t="s">
        <v>3384</v>
      </c>
      <c r="AS84" s="197" t="s">
        <v>3441</v>
      </c>
      <c r="AT84" s="197" t="s">
        <v>861</v>
      </c>
      <c r="AU84" s="1" t="s">
        <v>2085</v>
      </c>
      <c r="AV84" s="1" t="s">
        <v>2195</v>
      </c>
      <c r="AW84" s="1" t="s">
        <v>2087</v>
      </c>
      <c r="AX84" s="1" t="s">
        <v>764</v>
      </c>
      <c r="AY84" s="405" t="s">
        <v>359</v>
      </c>
      <c r="AZ84" s="197" t="s">
        <v>579</v>
      </c>
      <c r="BA84" s="1" t="s">
        <v>484</v>
      </c>
      <c r="BB84" s="1" t="s">
        <v>715</v>
      </c>
      <c r="BC84" s="1" t="s">
        <v>358</v>
      </c>
      <c r="BD84" s="3" t="s">
        <v>564</v>
      </c>
      <c r="BE84" s="197" t="s">
        <v>3442</v>
      </c>
      <c r="BF84" s="197" t="s">
        <v>517</v>
      </c>
      <c r="BG84" s="419" t="s">
        <v>3548</v>
      </c>
      <c r="BH84" s="419" t="s">
        <v>3549</v>
      </c>
      <c r="BI84" s="419" t="s">
        <v>1627</v>
      </c>
      <c r="BJ84" s="419" t="s">
        <v>1746</v>
      </c>
      <c r="BK84" s="405"/>
      <c r="BL84" s="197"/>
      <c r="BQ84" s="405"/>
      <c r="BR84" s="197"/>
      <c r="BS84" s="1"/>
      <c r="BT84" s="1"/>
      <c r="BU84" s="1"/>
      <c r="BV84" s="3"/>
      <c r="BW84" s="405"/>
      <c r="BX84" s="197"/>
      <c r="BY84" s="1"/>
      <c r="BZ84" s="1"/>
      <c r="CA84" s="1"/>
      <c r="CB84" s="3"/>
      <c r="CC84" s="197"/>
      <c r="CD84" s="197"/>
      <c r="CE84" s="2"/>
      <c r="CF84" s="2"/>
      <c r="CG84" s="2"/>
      <c r="CH84" s="2"/>
      <c r="CI84" s="405"/>
      <c r="CJ84" s="197"/>
      <c r="CN84" s="3"/>
      <c r="CO84" s="405"/>
      <c r="CP84" s="197"/>
      <c r="CQ84" s="1"/>
      <c r="CR84" s="1"/>
      <c r="CS84" s="1"/>
      <c r="CT84" s="3"/>
      <c r="CU84" s="405"/>
      <c r="CV84" s="197"/>
      <c r="CW84" s="1"/>
      <c r="CX84" s="1"/>
      <c r="CY84" s="1"/>
      <c r="CZ84" s="3"/>
      <c r="DA84" s="405"/>
      <c r="DB84" s="197"/>
      <c r="DC84" s="1"/>
      <c r="DD84" s="1"/>
      <c r="DE84" s="1"/>
      <c r="DF84" s="3"/>
      <c r="DG84" s="405"/>
      <c r="DH84" s="197"/>
      <c r="DI84" s="1"/>
      <c r="DJ84" s="1"/>
      <c r="DK84" s="1"/>
      <c r="DL84" s="3"/>
      <c r="DM84" s="405"/>
      <c r="DN84" s="197"/>
      <c r="DO84" s="1"/>
      <c r="DP84" s="1"/>
      <c r="DQ84" s="1"/>
      <c r="DR84" s="3"/>
    </row>
    <row r="85" spans="1:122" ht="12.9" customHeight="1" x14ac:dyDescent="0.2">
      <c r="A85" s="7" t="s">
        <v>660</v>
      </c>
      <c r="B85" s="7">
        <v>13</v>
      </c>
      <c r="C85" s="197" t="s">
        <v>848</v>
      </c>
      <c r="D85" s="197" t="s">
        <v>858</v>
      </c>
      <c r="E85" s="2" t="s">
        <v>850</v>
      </c>
      <c r="F85" s="2" t="s">
        <v>851</v>
      </c>
      <c r="G85" s="2" t="s">
        <v>859</v>
      </c>
      <c r="H85" s="3" t="s">
        <v>690</v>
      </c>
      <c r="I85" s="197" t="s">
        <v>3439</v>
      </c>
      <c r="J85" s="197" t="s">
        <v>4177</v>
      </c>
      <c r="K85" s="2" t="s">
        <v>2472</v>
      </c>
      <c r="L85" s="2" t="s">
        <v>3924</v>
      </c>
      <c r="M85" s="2" t="s">
        <v>747</v>
      </c>
      <c r="N85" s="2" t="s">
        <v>748</v>
      </c>
      <c r="O85" s="405" t="s">
        <v>860</v>
      </c>
      <c r="P85" s="197" t="s">
        <v>3292</v>
      </c>
      <c r="Q85" s="1" t="s">
        <v>763</v>
      </c>
      <c r="R85" s="1" t="s">
        <v>865</v>
      </c>
      <c r="S85" s="1" t="s">
        <v>864</v>
      </c>
      <c r="T85" s="3" t="s">
        <v>764</v>
      </c>
      <c r="U85" s="197" t="s">
        <v>3443</v>
      </c>
      <c r="V85" s="593" t="s">
        <v>2023</v>
      </c>
      <c r="W85" s="419" t="s">
        <v>657</v>
      </c>
      <c r="X85" s="419" t="s">
        <v>1699</v>
      </c>
      <c r="Y85" s="419" t="s">
        <v>744</v>
      </c>
      <c r="Z85" s="419" t="s">
        <v>2024</v>
      </c>
      <c r="AA85" s="197" t="s">
        <v>22</v>
      </c>
      <c r="AB85" s="197" t="s">
        <v>2272</v>
      </c>
      <c r="AC85" s="2" t="s">
        <v>1880</v>
      </c>
      <c r="AD85" s="2" t="s">
        <v>2345</v>
      </c>
      <c r="AE85" s="2" t="s">
        <v>276</v>
      </c>
      <c r="AF85" s="1" t="s">
        <v>3412</v>
      </c>
      <c r="AG85" s="197" t="s">
        <v>3441</v>
      </c>
      <c r="AH85" s="197" t="s">
        <v>861</v>
      </c>
      <c r="AI85" s="1" t="s">
        <v>2085</v>
      </c>
      <c r="AJ85" s="1" t="s">
        <v>2086</v>
      </c>
      <c r="AK85" s="1" t="s">
        <v>2087</v>
      </c>
      <c r="AL85" s="3" t="s">
        <v>764</v>
      </c>
      <c r="AM85" s="197" t="s">
        <v>3444</v>
      </c>
      <c r="AN85" s="197" t="s">
        <v>49</v>
      </c>
      <c r="AO85" s="419" t="s">
        <v>1748</v>
      </c>
      <c r="AP85" s="419" t="s">
        <v>704</v>
      </c>
      <c r="AQ85" s="419" t="s">
        <v>1749</v>
      </c>
      <c r="AR85" s="419" t="s">
        <v>1750</v>
      </c>
      <c r="AS85" s="197"/>
      <c r="AT85" s="197"/>
      <c r="AU85" s="2"/>
      <c r="AV85" s="2"/>
      <c r="AW85" s="2"/>
      <c r="AY85" s="405"/>
      <c r="AZ85" s="197"/>
      <c r="BA85" s="1"/>
      <c r="BB85" s="1"/>
      <c r="BC85" s="1"/>
      <c r="BD85" s="3"/>
      <c r="BE85" s="197"/>
      <c r="BF85" s="197"/>
      <c r="BK85" s="197"/>
      <c r="BL85" s="197"/>
      <c r="BM85" s="2"/>
      <c r="BN85" s="2"/>
      <c r="BO85" s="2"/>
      <c r="BQ85" s="405"/>
      <c r="BR85" s="197"/>
      <c r="BS85" s="1"/>
      <c r="BT85" s="1"/>
      <c r="BU85" s="1"/>
      <c r="BV85" s="3"/>
      <c r="BW85" s="405"/>
      <c r="BX85" s="197"/>
      <c r="BY85" s="1"/>
      <c r="BZ85" s="1"/>
      <c r="CA85" s="1"/>
      <c r="CB85" s="3"/>
      <c r="CC85" s="197"/>
      <c r="CD85" s="197"/>
      <c r="CI85" s="197"/>
      <c r="CJ85" s="197"/>
      <c r="CK85" s="2"/>
      <c r="CL85" s="2"/>
      <c r="CM85" s="2"/>
      <c r="CN85" s="3"/>
      <c r="CO85" s="405"/>
      <c r="CP85" s="197"/>
      <c r="CQ85" s="1"/>
      <c r="CR85" s="1"/>
      <c r="CS85" s="1"/>
      <c r="CT85" s="3"/>
      <c r="CU85" s="405"/>
      <c r="CV85" s="197"/>
      <c r="CW85" s="1"/>
      <c r="CX85" s="1"/>
      <c r="CY85" s="1"/>
      <c r="CZ85" s="3"/>
      <c r="DA85" s="405"/>
      <c r="DB85" s="197"/>
      <c r="DC85" s="1"/>
      <c r="DD85" s="1"/>
      <c r="DE85" s="1"/>
      <c r="DF85" s="3"/>
      <c r="DG85" s="405"/>
      <c r="DH85" s="197"/>
      <c r="DI85" s="1"/>
      <c r="DJ85" s="1"/>
      <c r="DK85" s="1"/>
      <c r="DL85" s="3"/>
      <c r="DM85" s="405"/>
      <c r="DN85" s="197"/>
      <c r="DO85" s="1"/>
      <c r="DP85" s="1"/>
      <c r="DQ85" s="1"/>
      <c r="DR85" s="3"/>
    </row>
    <row r="86" spans="1:122" ht="12.9" customHeight="1" x14ac:dyDescent="0.2">
      <c r="A86" s="7" t="s">
        <v>2799</v>
      </c>
      <c r="B86" s="7">
        <v>16</v>
      </c>
      <c r="C86" s="197" t="s">
        <v>3451</v>
      </c>
      <c r="D86" s="245" t="s">
        <v>49</v>
      </c>
      <c r="E86" s="2" t="s">
        <v>458</v>
      </c>
      <c r="F86" s="2" t="s">
        <v>2705</v>
      </c>
      <c r="G86" s="2" t="s">
        <v>2706</v>
      </c>
      <c r="H86" s="2" t="s">
        <v>4068</v>
      </c>
      <c r="I86" s="405" t="s">
        <v>860</v>
      </c>
      <c r="J86" s="197" t="s">
        <v>3292</v>
      </c>
      <c r="K86" s="1" t="s">
        <v>763</v>
      </c>
      <c r="L86" s="1" t="s">
        <v>865</v>
      </c>
      <c r="M86" s="1" t="s">
        <v>864</v>
      </c>
      <c r="N86" s="3" t="s">
        <v>764</v>
      </c>
      <c r="O86" s="197" t="s">
        <v>792</v>
      </c>
      <c r="P86" s="197" t="s">
        <v>1860</v>
      </c>
      <c r="Q86" s="1" t="s">
        <v>1861</v>
      </c>
      <c r="R86" s="1" t="s">
        <v>1862</v>
      </c>
      <c r="S86" s="1" t="s">
        <v>1863</v>
      </c>
      <c r="T86" s="3" t="s">
        <v>794</v>
      </c>
      <c r="U86" s="197" t="s">
        <v>3437</v>
      </c>
      <c r="V86" s="197" t="s">
        <v>579</v>
      </c>
      <c r="W86" s="1" t="s">
        <v>746</v>
      </c>
      <c r="X86" s="1" t="s">
        <v>1831</v>
      </c>
      <c r="Y86" s="1" t="s">
        <v>296</v>
      </c>
      <c r="Z86" s="1" t="s">
        <v>297</v>
      </c>
      <c r="AA86" s="405" t="s">
        <v>3452</v>
      </c>
      <c r="AB86" s="197" t="s">
        <v>2662</v>
      </c>
      <c r="AC86" s="419" t="s">
        <v>1730</v>
      </c>
      <c r="AD86" s="419" t="s">
        <v>831</v>
      </c>
      <c r="AE86" s="419" t="s">
        <v>2665</v>
      </c>
      <c r="AF86" s="419" t="s">
        <v>2666</v>
      </c>
      <c r="AG86" s="197" t="s">
        <v>3453</v>
      </c>
      <c r="AH86" s="197" t="s">
        <v>2272</v>
      </c>
      <c r="AI86" s="2" t="s">
        <v>2138</v>
      </c>
      <c r="AJ86" s="2" t="s">
        <v>2345</v>
      </c>
      <c r="AK86" s="2" t="s">
        <v>4064</v>
      </c>
      <c r="AL86" s="3" t="s">
        <v>4065</v>
      </c>
      <c r="AM86" s="197" t="s">
        <v>3454</v>
      </c>
      <c r="AN86" s="197" t="s">
        <v>1860</v>
      </c>
      <c r="AO86" s="419" t="s">
        <v>3261</v>
      </c>
      <c r="AP86" s="419" t="s">
        <v>3260</v>
      </c>
      <c r="AQ86" s="419" t="s">
        <v>3259</v>
      </c>
      <c r="AR86" s="419" t="s">
        <v>3258</v>
      </c>
      <c r="AS86" s="405" t="s">
        <v>3455</v>
      </c>
      <c r="AT86" s="197" t="s">
        <v>700</v>
      </c>
      <c r="AU86" s="1" t="s">
        <v>3870</v>
      </c>
      <c r="AV86" s="1" t="s">
        <v>3675</v>
      </c>
      <c r="AW86" s="1" t="s">
        <v>2973</v>
      </c>
      <c r="AX86" s="3" t="s">
        <v>3257</v>
      </c>
      <c r="AY86" s="197" t="s">
        <v>3456</v>
      </c>
      <c r="AZ86" s="197" t="s">
        <v>579</v>
      </c>
      <c r="BA86" s="2" t="s">
        <v>299</v>
      </c>
      <c r="BB86" s="2" t="s">
        <v>800</v>
      </c>
      <c r="BC86" s="2" t="s">
        <v>356</v>
      </c>
      <c r="BD86" s="3" t="s">
        <v>357</v>
      </c>
      <c r="BE86" s="197" t="s">
        <v>3457</v>
      </c>
      <c r="BF86" s="197" t="s">
        <v>3458</v>
      </c>
      <c r="BG86" s="419" t="s">
        <v>1768</v>
      </c>
      <c r="BH86" s="419" t="s">
        <v>1769</v>
      </c>
      <c r="BI86" s="419" t="s">
        <v>1770</v>
      </c>
      <c r="BJ86" s="419" t="s">
        <v>1771</v>
      </c>
      <c r="BK86" s="405"/>
      <c r="BL86" s="197"/>
      <c r="BP86" s="3"/>
      <c r="BQ86" s="197"/>
      <c r="BR86" s="197"/>
      <c r="BS86" s="1"/>
      <c r="BT86" s="1"/>
      <c r="BU86" s="1"/>
      <c r="BV86" s="3"/>
      <c r="BW86" s="197"/>
      <c r="BX86" s="197"/>
      <c r="BY86" s="1"/>
      <c r="BZ86" s="1"/>
      <c r="CA86" s="1"/>
      <c r="CB86" s="3"/>
      <c r="CC86" s="197"/>
      <c r="CD86" s="197"/>
      <c r="CE86" s="2"/>
      <c r="CF86" s="2"/>
      <c r="CG86" s="2"/>
      <c r="CI86" s="405"/>
      <c r="CJ86" s="197"/>
      <c r="CN86" s="3"/>
      <c r="CO86" s="197"/>
      <c r="CP86" s="197"/>
      <c r="CQ86" s="1"/>
      <c r="CR86" s="1"/>
      <c r="CS86" s="1"/>
      <c r="CT86" s="3"/>
      <c r="CU86" s="197"/>
      <c r="CV86" s="197"/>
      <c r="CW86" s="1"/>
      <c r="CX86" s="1"/>
      <c r="CY86" s="1"/>
      <c r="CZ86" s="3"/>
      <c r="DA86" s="197"/>
      <c r="DB86" s="197"/>
      <c r="DC86" s="1"/>
      <c r="DD86" s="1"/>
      <c r="DE86" s="1"/>
      <c r="DF86" s="3"/>
      <c r="DG86" s="197"/>
      <c r="DH86" s="197"/>
      <c r="DI86" s="1"/>
      <c r="DJ86" s="1"/>
      <c r="DK86" s="1"/>
      <c r="DL86" s="3"/>
      <c r="DM86" s="197"/>
      <c r="DN86" s="197"/>
      <c r="DO86" s="1"/>
      <c r="DP86" s="1"/>
      <c r="DQ86" s="1"/>
      <c r="DR86" s="3"/>
    </row>
    <row r="87" spans="1:122" ht="12.9" customHeight="1" x14ac:dyDescent="0.2">
      <c r="A87" s="7" t="s">
        <v>2807</v>
      </c>
      <c r="B87" s="7">
        <v>16</v>
      </c>
      <c r="C87" s="197" t="s">
        <v>1871</v>
      </c>
      <c r="D87" s="197" t="s">
        <v>2662</v>
      </c>
      <c r="E87" s="2" t="s">
        <v>3246</v>
      </c>
      <c r="F87" s="2" t="s">
        <v>3247</v>
      </c>
      <c r="G87" s="2" t="s">
        <v>2665</v>
      </c>
      <c r="H87" s="2" t="s">
        <v>2666</v>
      </c>
      <c r="I87" s="405" t="s">
        <v>655</v>
      </c>
      <c r="J87" s="197" t="s">
        <v>2029</v>
      </c>
      <c r="K87" s="1" t="s">
        <v>458</v>
      </c>
      <c r="L87" s="1" t="s">
        <v>657</v>
      </c>
      <c r="M87" s="1" t="s">
        <v>658</v>
      </c>
      <c r="N87" s="1" t="s">
        <v>2265</v>
      </c>
      <c r="O87" s="197" t="s">
        <v>3453</v>
      </c>
      <c r="P87" s="197" t="s">
        <v>2272</v>
      </c>
      <c r="Q87" s="2" t="s">
        <v>2138</v>
      </c>
      <c r="R87" s="2" t="s">
        <v>2345</v>
      </c>
      <c r="S87" s="2" t="s">
        <v>4064</v>
      </c>
      <c r="T87" s="3" t="s">
        <v>4065</v>
      </c>
      <c r="U87" s="197" t="s">
        <v>1872</v>
      </c>
      <c r="V87" s="197" t="s">
        <v>1860</v>
      </c>
      <c r="W87" s="2" t="s">
        <v>3261</v>
      </c>
      <c r="X87" s="2" t="s">
        <v>3260</v>
      </c>
      <c r="Y87" s="2" t="s">
        <v>3259</v>
      </c>
      <c r="Z87" s="2" t="s">
        <v>3258</v>
      </c>
      <c r="AA87" s="197" t="s">
        <v>1873</v>
      </c>
      <c r="AB87" s="504" t="s">
        <v>1874</v>
      </c>
      <c r="AC87" s="1" t="s">
        <v>1880</v>
      </c>
      <c r="AD87" s="1" t="s">
        <v>2812</v>
      </c>
      <c r="AE87" s="1" t="s">
        <v>2274</v>
      </c>
      <c r="AF87" s="1" t="s">
        <v>3674</v>
      </c>
      <c r="AG87" s="197" t="s">
        <v>1875</v>
      </c>
      <c r="AH87" s="197" t="s">
        <v>700</v>
      </c>
      <c r="AI87" s="2" t="s">
        <v>3267</v>
      </c>
      <c r="AJ87" s="2" t="s">
        <v>3675</v>
      </c>
      <c r="AK87" s="2" t="s">
        <v>2973</v>
      </c>
      <c r="AL87" s="3" t="s">
        <v>3257</v>
      </c>
      <c r="AM87" s="197" t="s">
        <v>1876</v>
      </c>
      <c r="AN87" s="197" t="s">
        <v>517</v>
      </c>
      <c r="AO87" s="2" t="s">
        <v>3269</v>
      </c>
      <c r="AP87" s="2" t="s">
        <v>3268</v>
      </c>
      <c r="AQ87" s="2" t="s">
        <v>742</v>
      </c>
      <c r="AR87" s="2" t="s">
        <v>3384</v>
      </c>
      <c r="AS87" s="197" t="s">
        <v>1877</v>
      </c>
      <c r="AT87" s="504" t="s">
        <v>517</v>
      </c>
      <c r="AU87" s="419" t="s">
        <v>2484</v>
      </c>
      <c r="AV87" s="419" t="s">
        <v>2270</v>
      </c>
      <c r="AW87" s="419" t="s">
        <v>3518</v>
      </c>
      <c r="AX87" s="419" t="s">
        <v>768</v>
      </c>
      <c r="AY87" s="197" t="s">
        <v>1878</v>
      </c>
      <c r="AZ87" s="197" t="s">
        <v>1879</v>
      </c>
      <c r="BA87" s="2" t="s">
        <v>2160</v>
      </c>
      <c r="BB87" s="2" t="s">
        <v>3321</v>
      </c>
      <c r="BC87" s="2" t="s">
        <v>3322</v>
      </c>
      <c r="BD87" s="3" t="s">
        <v>3323</v>
      </c>
      <c r="BE87" s="197" t="s">
        <v>867</v>
      </c>
      <c r="BF87" s="197" t="s">
        <v>4177</v>
      </c>
      <c r="BG87" s="2" t="s">
        <v>4186</v>
      </c>
      <c r="BH87" s="2" t="s">
        <v>869</v>
      </c>
      <c r="BI87" s="2" t="s">
        <v>870</v>
      </c>
      <c r="BJ87" s="2" t="s">
        <v>3669</v>
      </c>
      <c r="BK87" s="197"/>
      <c r="BL87" s="504"/>
      <c r="BQ87" s="197"/>
      <c r="BR87" s="197"/>
      <c r="BS87" s="2"/>
      <c r="BT87" s="2"/>
      <c r="BU87" s="2"/>
      <c r="BV87" s="3"/>
      <c r="BW87" s="197"/>
      <c r="BX87" s="197"/>
      <c r="BY87" s="2"/>
      <c r="BZ87" s="2"/>
      <c r="CA87" s="2"/>
      <c r="CB87" s="3"/>
      <c r="CC87" s="197"/>
      <c r="CD87" s="197"/>
      <c r="CE87" s="2"/>
      <c r="CF87" s="2"/>
      <c r="CG87" s="2"/>
      <c r="CH87" s="2"/>
      <c r="CI87" s="197"/>
      <c r="CJ87" s="504"/>
      <c r="CN87" s="3"/>
      <c r="CO87" s="197"/>
      <c r="CP87" s="197"/>
      <c r="CQ87" s="2"/>
      <c r="CR87" s="2"/>
      <c r="CS87" s="2"/>
      <c r="CT87" s="3"/>
      <c r="CU87" s="197"/>
      <c r="CV87" s="197"/>
      <c r="CW87" s="2"/>
      <c r="CX87" s="2"/>
      <c r="CY87" s="2"/>
      <c r="CZ87" s="3"/>
      <c r="DA87" s="197"/>
      <c r="DB87" s="197"/>
      <c r="DC87" s="2"/>
      <c r="DD87" s="2"/>
      <c r="DE87" s="2"/>
      <c r="DF87" s="3"/>
      <c r="DG87" s="197"/>
      <c r="DH87" s="197"/>
      <c r="DI87" s="2"/>
      <c r="DJ87" s="2"/>
      <c r="DK87" s="2"/>
      <c r="DL87" s="3"/>
      <c r="DM87" s="197"/>
      <c r="DN87" s="197"/>
      <c r="DO87" s="2"/>
      <c r="DP87" s="2"/>
      <c r="DQ87" s="2"/>
      <c r="DR87" s="3"/>
    </row>
    <row r="88" spans="1:122" ht="12.9" customHeight="1" x14ac:dyDescent="0.2">
      <c r="A88" s="7" t="s">
        <v>2811</v>
      </c>
      <c r="B88" s="7">
        <v>14</v>
      </c>
      <c r="C88" s="197" t="s">
        <v>2803</v>
      </c>
      <c r="D88" s="245" t="s">
        <v>2804</v>
      </c>
      <c r="E88" s="2" t="s">
        <v>145</v>
      </c>
      <c r="F88" s="2" t="s">
        <v>290</v>
      </c>
      <c r="G88" s="2" t="s">
        <v>797</v>
      </c>
      <c r="H88" s="2" t="s">
        <v>2817</v>
      </c>
      <c r="I88" s="197" t="s">
        <v>2792</v>
      </c>
      <c r="J88" s="197" t="s">
        <v>517</v>
      </c>
      <c r="K88" s="1" t="s">
        <v>2793</v>
      </c>
      <c r="L88" s="1" t="s">
        <v>2270</v>
      </c>
      <c r="M88" s="1" t="s">
        <v>2794</v>
      </c>
      <c r="N88" s="1" t="s">
        <v>2795</v>
      </c>
      <c r="O88" s="197" t="s">
        <v>1876</v>
      </c>
      <c r="P88" s="197" t="s">
        <v>517</v>
      </c>
      <c r="Q88" s="2" t="s">
        <v>3269</v>
      </c>
      <c r="R88" s="2" t="s">
        <v>3268</v>
      </c>
      <c r="S88" s="2" t="s">
        <v>742</v>
      </c>
      <c r="T88" s="3" t="s">
        <v>3384</v>
      </c>
      <c r="U88" s="197" t="s">
        <v>3573</v>
      </c>
      <c r="V88" s="197" t="s">
        <v>1879</v>
      </c>
      <c r="W88" s="2" t="s">
        <v>765</v>
      </c>
      <c r="X88" s="2" t="s">
        <v>2160</v>
      </c>
      <c r="Y88" s="2" t="s">
        <v>859</v>
      </c>
      <c r="Z88" s="3" t="s">
        <v>690</v>
      </c>
      <c r="AA88" s="197" t="s">
        <v>1871</v>
      </c>
      <c r="AB88" s="197" t="s">
        <v>2662</v>
      </c>
      <c r="AC88" s="2" t="s">
        <v>3246</v>
      </c>
      <c r="AD88" s="2" t="s">
        <v>3247</v>
      </c>
      <c r="AE88" s="2" t="s">
        <v>2665</v>
      </c>
      <c r="AF88" s="2" t="s">
        <v>2666</v>
      </c>
      <c r="AG88" s="405" t="s">
        <v>1883</v>
      </c>
      <c r="AH88" s="197" t="s">
        <v>517</v>
      </c>
      <c r="AI88" s="419" t="s">
        <v>3269</v>
      </c>
      <c r="AJ88" s="419" t="s">
        <v>2485</v>
      </c>
      <c r="AK88" s="419" t="s">
        <v>2486</v>
      </c>
      <c r="AL88" s="479" t="s">
        <v>2487</v>
      </c>
      <c r="AM88" s="197" t="s">
        <v>1872</v>
      </c>
      <c r="AN88" s="197" t="s">
        <v>1860</v>
      </c>
      <c r="AO88" s="2" t="s">
        <v>3261</v>
      </c>
      <c r="AP88" s="2" t="s">
        <v>3260</v>
      </c>
      <c r="AQ88" s="2" t="s">
        <v>3259</v>
      </c>
      <c r="AR88" s="2" t="s">
        <v>3258</v>
      </c>
      <c r="AS88" s="197" t="s">
        <v>1884</v>
      </c>
      <c r="AT88" s="197" t="s">
        <v>1885</v>
      </c>
      <c r="AU88" s="2" t="s">
        <v>822</v>
      </c>
      <c r="AV88" s="2" t="s">
        <v>1886</v>
      </c>
      <c r="AW88" s="2" t="s">
        <v>1887</v>
      </c>
      <c r="AX88" s="2" t="s">
        <v>1888</v>
      </c>
      <c r="AY88" s="405"/>
      <c r="AZ88" s="197"/>
      <c r="BA88" s="2"/>
      <c r="BB88" s="2"/>
      <c r="BC88" s="2"/>
      <c r="BD88" s="3"/>
      <c r="BE88" s="197"/>
      <c r="BF88" s="504"/>
      <c r="BK88" s="197"/>
      <c r="BL88" s="197"/>
      <c r="BM88" s="2"/>
      <c r="BN88" s="2"/>
      <c r="BO88" s="2"/>
      <c r="BP88" s="2"/>
      <c r="BQ88" s="405"/>
      <c r="BR88" s="197"/>
      <c r="BS88" s="2"/>
      <c r="BT88" s="2"/>
      <c r="BU88" s="2"/>
      <c r="BV88" s="3"/>
      <c r="BW88" s="405"/>
      <c r="BX88" s="197"/>
      <c r="BY88" s="2"/>
      <c r="BZ88" s="2"/>
      <c r="CA88" s="2"/>
      <c r="CB88" s="3"/>
      <c r="CC88" s="197"/>
      <c r="CD88" s="504"/>
      <c r="CI88" s="197"/>
      <c r="CJ88" s="197"/>
      <c r="CK88" s="2"/>
      <c r="CL88" s="2"/>
      <c r="CM88" s="2"/>
      <c r="CN88" s="3"/>
      <c r="CO88" s="405"/>
      <c r="CP88" s="197"/>
      <c r="CQ88" s="2"/>
      <c r="CR88" s="2"/>
      <c r="CS88" s="2"/>
      <c r="CT88" s="3"/>
      <c r="CU88" s="405"/>
      <c r="CV88" s="197"/>
      <c r="CW88" s="2"/>
      <c r="CX88" s="2"/>
      <c r="CY88" s="2"/>
      <c r="CZ88" s="3"/>
      <c r="DA88" s="405"/>
      <c r="DB88" s="197"/>
      <c r="DC88" s="2"/>
      <c r="DD88" s="2"/>
      <c r="DE88" s="2"/>
      <c r="DF88" s="3"/>
      <c r="DG88" s="405"/>
      <c r="DH88" s="197"/>
      <c r="DI88" s="2"/>
      <c r="DJ88" s="2"/>
      <c r="DK88" s="2"/>
      <c r="DL88" s="3"/>
      <c r="DM88" s="405"/>
      <c r="DN88" s="197"/>
      <c r="DO88" s="2"/>
      <c r="DP88" s="2"/>
      <c r="DQ88" s="2"/>
      <c r="DR88" s="3"/>
    </row>
    <row r="89" spans="1:122" ht="12.9" customHeight="1" x14ac:dyDescent="0.2">
      <c r="A89" s="7" t="s">
        <v>2814</v>
      </c>
      <c r="B89" s="7">
        <v>14</v>
      </c>
      <c r="C89" s="197" t="s">
        <v>3573</v>
      </c>
      <c r="D89" s="197" t="s">
        <v>1879</v>
      </c>
      <c r="E89" s="2" t="s">
        <v>765</v>
      </c>
      <c r="F89" s="2" t="s">
        <v>2160</v>
      </c>
      <c r="G89" s="2" t="s">
        <v>859</v>
      </c>
      <c r="H89" s="3" t="s">
        <v>690</v>
      </c>
      <c r="I89" s="197" t="s">
        <v>2792</v>
      </c>
      <c r="J89" s="197" t="s">
        <v>517</v>
      </c>
      <c r="K89" s="1" t="s">
        <v>2793</v>
      </c>
      <c r="L89" s="1" t="s">
        <v>2270</v>
      </c>
      <c r="M89" s="1" t="s">
        <v>2794</v>
      </c>
      <c r="N89" s="1" t="s">
        <v>2795</v>
      </c>
      <c r="O89" s="197" t="s">
        <v>1871</v>
      </c>
      <c r="P89" s="197" t="s">
        <v>2662</v>
      </c>
      <c r="Q89" s="2" t="s">
        <v>3246</v>
      </c>
      <c r="R89" s="2" t="s">
        <v>3247</v>
      </c>
      <c r="S89" s="2" t="s">
        <v>2665</v>
      </c>
      <c r="T89" s="3" t="s">
        <v>2666</v>
      </c>
      <c r="U89" s="197" t="s">
        <v>792</v>
      </c>
      <c r="V89" s="197" t="s">
        <v>1860</v>
      </c>
      <c r="W89" s="1" t="s">
        <v>1861</v>
      </c>
      <c r="X89" s="1" t="s">
        <v>1862</v>
      </c>
      <c r="Y89" s="1" t="s">
        <v>1863</v>
      </c>
      <c r="Z89" s="1" t="s">
        <v>794</v>
      </c>
      <c r="AA89" s="197" t="s">
        <v>1903</v>
      </c>
      <c r="AB89" s="197" t="s">
        <v>1885</v>
      </c>
      <c r="AC89" s="1" t="s">
        <v>1880</v>
      </c>
      <c r="AD89" s="1" t="s">
        <v>1904</v>
      </c>
      <c r="AE89" s="1" t="s">
        <v>2274</v>
      </c>
      <c r="AF89" s="3" t="s">
        <v>3674</v>
      </c>
      <c r="AG89" s="197" t="s">
        <v>1905</v>
      </c>
      <c r="AH89" s="197" t="s">
        <v>2088</v>
      </c>
      <c r="AI89" s="2" t="s">
        <v>1715</v>
      </c>
      <c r="AJ89" s="2" t="s">
        <v>1716</v>
      </c>
      <c r="AK89" s="2" t="s">
        <v>524</v>
      </c>
      <c r="AL89" s="3" t="s">
        <v>1717</v>
      </c>
      <c r="AM89" s="197" t="s">
        <v>1906</v>
      </c>
      <c r="AN89" s="504" t="s">
        <v>1879</v>
      </c>
      <c r="AO89" s="1" t="s">
        <v>3325</v>
      </c>
      <c r="AP89" s="1" t="s">
        <v>3321</v>
      </c>
      <c r="AQ89" s="1" t="s">
        <v>3324</v>
      </c>
      <c r="AR89" s="3" t="s">
        <v>1494</v>
      </c>
      <c r="AS89" s="197" t="s">
        <v>1907</v>
      </c>
      <c r="AT89" s="419" t="s">
        <v>1879</v>
      </c>
      <c r="AU89" s="419" t="s">
        <v>1462</v>
      </c>
      <c r="AV89" s="419" t="s">
        <v>1692</v>
      </c>
      <c r="AW89" s="419" t="s">
        <v>1693</v>
      </c>
      <c r="AX89" s="419" t="s">
        <v>3322</v>
      </c>
      <c r="AY89" s="197"/>
      <c r="AZ89" s="197"/>
      <c r="BA89" s="2"/>
      <c r="BB89" s="2"/>
      <c r="BC89" s="2"/>
      <c r="BD89" s="3"/>
      <c r="BE89" s="197"/>
      <c r="BF89" s="504"/>
      <c r="BK89" s="197"/>
      <c r="BL89" s="197"/>
      <c r="BP89" s="3"/>
      <c r="BQ89" s="197"/>
      <c r="BR89" s="197"/>
      <c r="BS89" s="2"/>
      <c r="BT89" s="2"/>
      <c r="BU89" s="2"/>
      <c r="BV89" s="3"/>
      <c r="BW89" s="197"/>
      <c r="BX89" s="197"/>
      <c r="BY89" s="2"/>
      <c r="BZ89" s="2"/>
      <c r="CA89" s="2"/>
      <c r="CB89" s="3"/>
      <c r="CC89" s="197"/>
      <c r="CD89" s="504"/>
      <c r="CI89" s="197"/>
      <c r="CJ89" s="197"/>
      <c r="CN89" s="3"/>
      <c r="CO89" s="197"/>
      <c r="CP89" s="197"/>
      <c r="CQ89" s="2"/>
      <c r="CR89" s="2"/>
      <c r="CS89" s="2"/>
      <c r="CT89" s="3"/>
      <c r="CU89" s="197"/>
      <c r="CV89" s="197"/>
      <c r="CW89" s="2"/>
      <c r="CX89" s="2"/>
      <c r="CY89" s="2"/>
      <c r="CZ89" s="3"/>
      <c r="DA89" s="197"/>
      <c r="DB89" s="197"/>
      <c r="DC89" s="2"/>
      <c r="DD89" s="2"/>
      <c r="DE89" s="2"/>
      <c r="DF89" s="3"/>
      <c r="DG89" s="197"/>
      <c r="DH89" s="197"/>
      <c r="DI89" s="2"/>
      <c r="DJ89" s="2"/>
      <c r="DK89" s="2"/>
      <c r="DL89" s="3"/>
      <c r="DM89" s="197"/>
      <c r="DN89" s="197"/>
      <c r="DO89" s="2"/>
      <c r="DP89" s="2"/>
      <c r="DQ89" s="2"/>
      <c r="DR89" s="3"/>
    </row>
    <row r="90" spans="1:122" ht="12.9" customHeight="1" x14ac:dyDescent="0.2">
      <c r="A90" s="7" t="s">
        <v>2815</v>
      </c>
      <c r="B90" s="7">
        <v>15</v>
      </c>
      <c r="C90" s="197" t="s">
        <v>1903</v>
      </c>
      <c r="D90" s="197" t="s">
        <v>1885</v>
      </c>
      <c r="E90" s="1" t="s">
        <v>1880</v>
      </c>
      <c r="F90" s="1" t="s">
        <v>1904</v>
      </c>
      <c r="G90" s="1" t="s">
        <v>2274</v>
      </c>
      <c r="H90" s="3" t="s">
        <v>3674</v>
      </c>
      <c r="I90" s="405" t="s">
        <v>1897</v>
      </c>
      <c r="J90" s="197" t="s">
        <v>360</v>
      </c>
      <c r="K90" s="419" t="s">
        <v>3939</v>
      </c>
      <c r="L90" s="419" t="s">
        <v>1759</v>
      </c>
      <c r="M90" s="419" t="s">
        <v>1760</v>
      </c>
      <c r="N90" s="419" t="s">
        <v>1761</v>
      </c>
      <c r="O90" s="197" t="s">
        <v>3573</v>
      </c>
      <c r="P90" s="197" t="s">
        <v>1879</v>
      </c>
      <c r="Q90" s="2" t="s">
        <v>765</v>
      </c>
      <c r="R90" s="2" t="s">
        <v>2160</v>
      </c>
      <c r="S90" s="2" t="s">
        <v>859</v>
      </c>
      <c r="T90" s="3" t="s">
        <v>690</v>
      </c>
      <c r="U90" s="197" t="s">
        <v>1906</v>
      </c>
      <c r="V90" s="197" t="s">
        <v>1879</v>
      </c>
      <c r="W90" s="2" t="s">
        <v>3325</v>
      </c>
      <c r="X90" s="2" t="s">
        <v>3321</v>
      </c>
      <c r="Y90" s="2" t="s">
        <v>3324</v>
      </c>
      <c r="Z90" s="2" t="s">
        <v>1709</v>
      </c>
      <c r="AA90" s="405" t="s">
        <v>1891</v>
      </c>
      <c r="AB90" s="197" t="s">
        <v>579</v>
      </c>
      <c r="AC90" s="1" t="s">
        <v>299</v>
      </c>
      <c r="AD90" s="1" t="s">
        <v>3219</v>
      </c>
      <c r="AE90" s="1" t="s">
        <v>3980</v>
      </c>
      <c r="AF90" s="1" t="s">
        <v>2156</v>
      </c>
      <c r="AG90" s="197" t="s">
        <v>1908</v>
      </c>
      <c r="AH90" s="197" t="s">
        <v>526</v>
      </c>
      <c r="AI90" s="1" t="s">
        <v>2174</v>
      </c>
      <c r="AJ90" s="1" t="s">
        <v>2175</v>
      </c>
      <c r="AK90" s="1" t="s">
        <v>525</v>
      </c>
      <c r="AL90" s="3" t="s">
        <v>3249</v>
      </c>
      <c r="AM90" s="197" t="s">
        <v>1909</v>
      </c>
      <c r="AN90" s="197" t="s">
        <v>2662</v>
      </c>
      <c r="AO90" s="1" t="s">
        <v>830</v>
      </c>
      <c r="AP90" s="1" t="s">
        <v>831</v>
      </c>
      <c r="AQ90" s="1" t="s">
        <v>3988</v>
      </c>
      <c r="AR90" s="3" t="s">
        <v>2942</v>
      </c>
      <c r="AS90" s="405" t="s">
        <v>1910</v>
      </c>
      <c r="AT90" s="197" t="s">
        <v>361</v>
      </c>
      <c r="AU90" s="2" t="s">
        <v>3481</v>
      </c>
      <c r="AV90" s="2" t="s">
        <v>310</v>
      </c>
      <c r="AW90" s="2" t="s">
        <v>3482</v>
      </c>
      <c r="AX90" s="3" t="s">
        <v>311</v>
      </c>
      <c r="AY90" s="197" t="s">
        <v>199</v>
      </c>
      <c r="AZ90" s="197" t="s">
        <v>361</v>
      </c>
      <c r="BA90" s="7" t="s">
        <v>3911</v>
      </c>
      <c r="BB90" s="2" t="s">
        <v>3479</v>
      </c>
      <c r="BC90" s="2" t="s">
        <v>3480</v>
      </c>
      <c r="BD90" s="3" t="s">
        <v>309</v>
      </c>
      <c r="BE90" s="197"/>
      <c r="BF90" s="197"/>
      <c r="BJ90" s="3"/>
      <c r="BK90" s="405"/>
      <c r="BL90" s="197"/>
      <c r="BM90" s="2"/>
      <c r="BN90" s="2"/>
      <c r="BO90" s="2"/>
      <c r="BP90" s="3"/>
      <c r="BQ90" s="197"/>
      <c r="BR90" s="197"/>
      <c r="BS90" s="7"/>
      <c r="BT90" s="2"/>
      <c r="BU90" s="2"/>
      <c r="BV90" s="3"/>
      <c r="BW90" s="197"/>
      <c r="BX90" s="197"/>
      <c r="BY90" s="7"/>
      <c r="BZ90" s="2"/>
      <c r="CA90" s="2"/>
      <c r="CB90" s="3"/>
      <c r="CC90" s="197"/>
      <c r="CD90" s="197"/>
      <c r="CH90" s="3"/>
      <c r="CI90" s="405"/>
      <c r="CJ90" s="197"/>
      <c r="CK90" s="2"/>
      <c r="CL90" s="2"/>
      <c r="CM90" s="2"/>
      <c r="CN90" s="3"/>
      <c r="CO90" s="197"/>
      <c r="CP90" s="197"/>
      <c r="CQ90" s="7"/>
      <c r="CR90" s="2"/>
      <c r="CS90" s="2"/>
      <c r="CT90" s="3"/>
      <c r="CU90" s="197"/>
      <c r="CV90" s="197"/>
      <c r="CW90" s="7"/>
      <c r="CX90" s="2"/>
      <c r="CY90" s="2"/>
      <c r="CZ90" s="3"/>
      <c r="DA90" s="197"/>
      <c r="DB90" s="197"/>
      <c r="DC90" s="7"/>
      <c r="DD90" s="2"/>
      <c r="DE90" s="2"/>
      <c r="DF90" s="3"/>
      <c r="DG90" s="197"/>
      <c r="DH90" s="197"/>
      <c r="DI90" s="7"/>
      <c r="DJ90" s="2"/>
      <c r="DK90" s="2"/>
      <c r="DL90" s="3"/>
      <c r="DM90" s="197"/>
      <c r="DN90" s="197"/>
      <c r="DO90" s="7"/>
      <c r="DP90" s="2"/>
      <c r="DQ90" s="2"/>
      <c r="DR90" s="3"/>
    </row>
    <row r="91" spans="1:122" ht="12.9" customHeight="1" x14ac:dyDescent="0.2">
      <c r="A91" s="7" t="s">
        <v>2819</v>
      </c>
      <c r="B91" s="7">
        <v>12</v>
      </c>
      <c r="C91" s="197" t="s">
        <v>1908</v>
      </c>
      <c r="D91" s="197" t="s">
        <v>2168</v>
      </c>
      <c r="E91" s="1" t="s">
        <v>2174</v>
      </c>
      <c r="F91" s="1" t="s">
        <v>2175</v>
      </c>
      <c r="G91" s="1" t="s">
        <v>3249</v>
      </c>
      <c r="H91" s="1" t="s">
        <v>2173</v>
      </c>
      <c r="I91" s="197" t="s">
        <v>3344</v>
      </c>
      <c r="J91" s="197" t="s">
        <v>579</v>
      </c>
      <c r="K91" s="1" t="s">
        <v>484</v>
      </c>
      <c r="L91" s="1" t="s">
        <v>581</v>
      </c>
      <c r="M91" s="1" t="s">
        <v>485</v>
      </c>
      <c r="N91" s="3" t="s">
        <v>753</v>
      </c>
      <c r="O91" s="197" t="s">
        <v>1906</v>
      </c>
      <c r="P91" s="197" t="s">
        <v>1879</v>
      </c>
      <c r="Q91" s="1" t="s">
        <v>3325</v>
      </c>
      <c r="R91" s="1" t="s">
        <v>3321</v>
      </c>
      <c r="S91" s="1" t="s">
        <v>3324</v>
      </c>
      <c r="T91" s="3" t="s">
        <v>1494</v>
      </c>
      <c r="U91" s="197" t="s">
        <v>1909</v>
      </c>
      <c r="V91" s="197" t="s">
        <v>2662</v>
      </c>
      <c r="W91" s="1" t="s">
        <v>830</v>
      </c>
      <c r="X91" s="1" t="s">
        <v>831</v>
      </c>
      <c r="Y91" s="1" t="s">
        <v>3988</v>
      </c>
      <c r="Z91" s="3" t="s">
        <v>2942</v>
      </c>
      <c r="AA91" s="197" t="s">
        <v>2090</v>
      </c>
      <c r="AB91" s="197" t="s">
        <v>1466</v>
      </c>
      <c r="AC91" s="1" t="s">
        <v>3816</v>
      </c>
      <c r="AD91" s="1" t="s">
        <v>3638</v>
      </c>
      <c r="AE91" s="1" t="s">
        <v>3817</v>
      </c>
      <c r="AF91" s="3" t="s">
        <v>3818</v>
      </c>
      <c r="AG91" s="197" t="s">
        <v>2091</v>
      </c>
      <c r="AH91" s="197" t="s">
        <v>3292</v>
      </c>
      <c r="AI91" s="1" t="s">
        <v>1337</v>
      </c>
      <c r="AJ91" s="1" t="s">
        <v>1338</v>
      </c>
      <c r="AK91" s="1" t="s">
        <v>1339</v>
      </c>
      <c r="AL91" s="3" t="s">
        <v>1340</v>
      </c>
      <c r="AM91" s="197"/>
      <c r="AN91" s="197"/>
      <c r="AO91" s="2"/>
      <c r="AP91" s="2"/>
      <c r="AQ91" s="2"/>
      <c r="AS91" s="197"/>
      <c r="AT91" s="197"/>
      <c r="AY91" s="197"/>
      <c r="AZ91" s="197"/>
      <c r="BA91" s="1"/>
      <c r="BB91" s="1"/>
      <c r="BC91" s="1"/>
      <c r="BD91" s="3"/>
      <c r="BE91" s="197"/>
      <c r="BF91" s="197"/>
      <c r="BG91" s="2"/>
      <c r="BH91" s="2"/>
      <c r="BI91" s="2"/>
      <c r="BK91" s="197"/>
      <c r="BL91" s="197"/>
      <c r="BQ91" s="197"/>
      <c r="BR91" s="197"/>
      <c r="BS91" s="1"/>
      <c r="BT91" s="1"/>
      <c r="BU91" s="1"/>
      <c r="BV91" s="3"/>
      <c r="BW91" s="197"/>
      <c r="BX91" s="197"/>
      <c r="BY91" s="1"/>
      <c r="BZ91" s="1"/>
      <c r="CA91" s="1"/>
      <c r="CB91" s="3"/>
      <c r="CC91" s="197"/>
      <c r="CD91" s="197"/>
      <c r="CE91" s="2"/>
      <c r="CF91" s="2"/>
      <c r="CG91" s="2"/>
      <c r="CI91" s="197"/>
      <c r="CJ91" s="197"/>
      <c r="CN91" s="3"/>
      <c r="CO91" s="197"/>
      <c r="CP91" s="197"/>
      <c r="CQ91" s="1"/>
      <c r="CR91" s="1"/>
      <c r="CS91" s="1"/>
      <c r="CT91" s="3"/>
      <c r="CU91" s="197"/>
      <c r="CV91" s="197"/>
      <c r="CW91" s="1"/>
      <c r="CX91" s="1"/>
      <c r="CY91" s="1"/>
      <c r="CZ91" s="3"/>
      <c r="DA91" s="197"/>
      <c r="DB91" s="197"/>
      <c r="DC91" s="1"/>
      <c r="DD91" s="1"/>
      <c r="DE91" s="1"/>
      <c r="DF91" s="3"/>
      <c r="DG91" s="197"/>
      <c r="DH91" s="197"/>
      <c r="DI91" s="1"/>
      <c r="DJ91" s="1"/>
      <c r="DK91" s="1"/>
      <c r="DL91" s="3"/>
      <c r="DM91" s="197"/>
      <c r="DN91" s="197"/>
      <c r="DO91" s="1"/>
      <c r="DP91" s="1"/>
      <c r="DQ91" s="1"/>
      <c r="DR91" s="3"/>
    </row>
    <row r="92" spans="1:122" ht="12.9" customHeight="1" x14ac:dyDescent="0.2">
      <c r="A92" s="7" t="s">
        <v>2825</v>
      </c>
      <c r="B92" s="7">
        <v>15</v>
      </c>
      <c r="C92" s="197" t="s">
        <v>1908</v>
      </c>
      <c r="D92" s="197" t="s">
        <v>2168</v>
      </c>
      <c r="E92" s="1" t="s">
        <v>2174</v>
      </c>
      <c r="F92" s="1" t="s">
        <v>2175</v>
      </c>
      <c r="G92" s="1" t="s">
        <v>4052</v>
      </c>
      <c r="H92" s="1" t="s">
        <v>2173</v>
      </c>
      <c r="I92" s="197" t="s">
        <v>3664</v>
      </c>
      <c r="J92" s="245" t="s">
        <v>3665</v>
      </c>
      <c r="K92" s="1" t="s">
        <v>2138</v>
      </c>
      <c r="L92" s="1" t="s">
        <v>3666</v>
      </c>
      <c r="M92" s="1" t="s">
        <v>3667</v>
      </c>
      <c r="N92" s="1" t="s">
        <v>3395</v>
      </c>
      <c r="O92" s="197" t="s">
        <v>2095</v>
      </c>
      <c r="P92" s="197" t="s">
        <v>2089</v>
      </c>
      <c r="Q92" s="7" t="s">
        <v>3005</v>
      </c>
      <c r="R92" s="2" t="s">
        <v>3006</v>
      </c>
      <c r="S92" s="2" t="s">
        <v>2534</v>
      </c>
      <c r="T92" s="3" t="s">
        <v>278</v>
      </c>
      <c r="U92" s="197" t="s">
        <v>2096</v>
      </c>
      <c r="V92" s="197" t="s">
        <v>1879</v>
      </c>
      <c r="W92" s="2" t="s">
        <v>1462</v>
      </c>
      <c r="X92" s="2" t="s">
        <v>2160</v>
      </c>
      <c r="Y92" s="2" t="s">
        <v>1463</v>
      </c>
      <c r="Z92" s="3" t="s">
        <v>690</v>
      </c>
      <c r="AA92" s="197" t="s">
        <v>2097</v>
      </c>
      <c r="AB92" s="197" t="s">
        <v>3822</v>
      </c>
      <c r="AC92" s="419" t="s">
        <v>3911</v>
      </c>
      <c r="AD92" s="419" t="s">
        <v>2946</v>
      </c>
      <c r="AE92" s="419" t="s">
        <v>308</v>
      </c>
      <c r="AF92" s="419" t="s">
        <v>309</v>
      </c>
      <c r="AG92" s="197" t="s">
        <v>1871</v>
      </c>
      <c r="AH92" s="197" t="s">
        <v>2662</v>
      </c>
      <c r="AI92" s="2" t="s">
        <v>3246</v>
      </c>
      <c r="AJ92" s="2" t="s">
        <v>3247</v>
      </c>
      <c r="AK92" s="2" t="s">
        <v>2665</v>
      </c>
      <c r="AL92" s="3" t="s">
        <v>2666</v>
      </c>
      <c r="AM92" s="197" t="s">
        <v>1906</v>
      </c>
      <c r="AN92" s="197" t="s">
        <v>1879</v>
      </c>
      <c r="AO92" s="1" t="s">
        <v>3325</v>
      </c>
      <c r="AP92" s="1" t="s">
        <v>2522</v>
      </c>
      <c r="AQ92" s="1" t="s">
        <v>3324</v>
      </c>
      <c r="AR92" s="3" t="s">
        <v>1494</v>
      </c>
      <c r="AS92" s="197" t="s">
        <v>203</v>
      </c>
      <c r="AT92" s="197" t="s">
        <v>1860</v>
      </c>
      <c r="AU92" s="1" t="s">
        <v>1862</v>
      </c>
      <c r="AV92" s="2" t="s">
        <v>3258</v>
      </c>
      <c r="AW92" s="2" t="s">
        <v>1863</v>
      </c>
      <c r="AX92" s="3" t="s">
        <v>496</v>
      </c>
      <c r="AY92" s="197" t="s">
        <v>1909</v>
      </c>
      <c r="AZ92" s="197" t="s">
        <v>2662</v>
      </c>
      <c r="BA92" s="1" t="s">
        <v>830</v>
      </c>
      <c r="BB92" s="1" t="s">
        <v>831</v>
      </c>
      <c r="BC92" s="1" t="s">
        <v>3988</v>
      </c>
      <c r="BD92" s="3" t="s">
        <v>2942</v>
      </c>
      <c r="BE92" s="197"/>
      <c r="BF92" s="197"/>
      <c r="BG92" s="2"/>
      <c r="BH92" s="2"/>
      <c r="BI92" s="2"/>
      <c r="BJ92" s="2"/>
      <c r="BK92" s="197"/>
      <c r="BL92" s="197"/>
      <c r="BN92" s="2"/>
      <c r="BO92" s="2"/>
      <c r="BP92" s="3"/>
      <c r="BQ92" s="197"/>
      <c r="BR92" s="197"/>
      <c r="BS92" s="7"/>
      <c r="BT92" s="2"/>
      <c r="BU92" s="2"/>
      <c r="BV92" s="3"/>
      <c r="BW92" s="197"/>
      <c r="BX92" s="197"/>
      <c r="BY92" s="7"/>
      <c r="BZ92" s="2"/>
      <c r="CA92" s="2"/>
      <c r="CB92" s="3"/>
      <c r="CC92" s="197"/>
      <c r="CD92" s="197"/>
      <c r="CE92" s="2"/>
      <c r="CF92" s="2"/>
      <c r="CG92" s="2"/>
      <c r="CH92" s="2"/>
      <c r="CI92" s="197"/>
      <c r="CJ92" s="197"/>
      <c r="CL92" s="2"/>
      <c r="CM92" s="2"/>
      <c r="CN92" s="3"/>
      <c r="CO92" s="197"/>
      <c r="CP92" s="197"/>
      <c r="CQ92" s="7"/>
      <c r="CR92" s="2"/>
      <c r="CS92" s="2"/>
      <c r="CT92" s="3"/>
      <c r="CU92" s="197"/>
      <c r="CV92" s="197"/>
      <c r="CW92" s="7"/>
      <c r="CX92" s="2"/>
      <c r="CY92" s="2"/>
      <c r="CZ92" s="3"/>
      <c r="DA92" s="197"/>
      <c r="DB92" s="197"/>
      <c r="DC92" s="7"/>
      <c r="DD92" s="2"/>
      <c r="DE92" s="2"/>
      <c r="DF92" s="3"/>
      <c r="DG92" s="197"/>
      <c r="DH92" s="197"/>
      <c r="DI92" s="7"/>
      <c r="DJ92" s="2"/>
      <c r="DK92" s="2"/>
      <c r="DL92" s="3"/>
      <c r="DM92" s="197"/>
      <c r="DN92" s="197"/>
      <c r="DO92" s="7"/>
      <c r="DP92" s="2"/>
      <c r="DQ92" s="2"/>
      <c r="DR92" s="3"/>
    </row>
    <row r="93" spans="1:122" ht="12.9" customHeight="1" x14ac:dyDescent="0.2">
      <c r="A93" s="7" t="s">
        <v>3516</v>
      </c>
      <c r="B93" s="7">
        <v>13</v>
      </c>
      <c r="C93" s="197" t="s">
        <v>1908</v>
      </c>
      <c r="D93" s="197" t="s">
        <v>2183</v>
      </c>
      <c r="E93" s="1" t="s">
        <v>2174</v>
      </c>
      <c r="F93" s="1" t="s">
        <v>2175</v>
      </c>
      <c r="G93" s="1" t="s">
        <v>4052</v>
      </c>
      <c r="H93" s="1" t="s">
        <v>2173</v>
      </c>
      <c r="I93" s="197" t="s">
        <v>230</v>
      </c>
      <c r="J93" s="197" t="s">
        <v>211</v>
      </c>
      <c r="K93" s="1" t="s">
        <v>231</v>
      </c>
      <c r="L93" s="1" t="s">
        <v>813</v>
      </c>
      <c r="M93" s="1" t="s">
        <v>232</v>
      </c>
      <c r="N93" s="3" t="s">
        <v>3534</v>
      </c>
      <c r="O93" s="405" t="s">
        <v>2090</v>
      </c>
      <c r="P93" s="197" t="s">
        <v>1466</v>
      </c>
      <c r="Q93" s="1" t="s">
        <v>3816</v>
      </c>
      <c r="R93" s="1" t="s">
        <v>3638</v>
      </c>
      <c r="S93" s="1" t="s">
        <v>3817</v>
      </c>
      <c r="T93" s="3" t="s">
        <v>3818</v>
      </c>
      <c r="U93" s="197" t="s">
        <v>2095</v>
      </c>
      <c r="V93" s="197" t="s">
        <v>2089</v>
      </c>
      <c r="W93" s="7" t="s">
        <v>3005</v>
      </c>
      <c r="X93" s="2" t="s">
        <v>3006</v>
      </c>
      <c r="Y93" s="2" t="s">
        <v>2534</v>
      </c>
      <c r="Z93" s="3" t="s">
        <v>278</v>
      </c>
      <c r="AA93" s="197" t="s">
        <v>1871</v>
      </c>
      <c r="AB93" s="197" t="s">
        <v>2662</v>
      </c>
      <c r="AC93" s="2" t="s">
        <v>3246</v>
      </c>
      <c r="AD93" s="2" t="s">
        <v>3247</v>
      </c>
      <c r="AE93" s="2" t="s">
        <v>2665</v>
      </c>
      <c r="AF93" s="2" t="s">
        <v>2666</v>
      </c>
      <c r="AG93" s="405" t="s">
        <v>2096</v>
      </c>
      <c r="AH93" s="197" t="s">
        <v>1879</v>
      </c>
      <c r="AI93" s="2" t="s">
        <v>1462</v>
      </c>
      <c r="AJ93" s="2" t="s">
        <v>2160</v>
      </c>
      <c r="AK93" s="2" t="s">
        <v>1463</v>
      </c>
      <c r="AL93" s="3" t="s">
        <v>690</v>
      </c>
      <c r="AM93" s="197" t="s">
        <v>1872</v>
      </c>
      <c r="AN93" s="197" t="s">
        <v>1860</v>
      </c>
      <c r="AO93" s="2" t="s">
        <v>3261</v>
      </c>
      <c r="AP93" s="2" t="s">
        <v>3260</v>
      </c>
      <c r="AQ93" s="2" t="s">
        <v>3259</v>
      </c>
      <c r="AR93" s="2" t="s">
        <v>3258</v>
      </c>
      <c r="AS93" s="197"/>
      <c r="AT93" s="197"/>
      <c r="AU93" s="7"/>
      <c r="AV93" s="2"/>
      <c r="AW93" s="2"/>
      <c r="AX93" s="3"/>
      <c r="AY93" s="405"/>
      <c r="AZ93" s="197"/>
      <c r="BA93" s="2"/>
      <c r="BB93" s="2"/>
      <c r="BC93" s="2"/>
      <c r="BD93" s="3"/>
      <c r="BE93" s="197"/>
      <c r="BF93" s="197"/>
      <c r="BG93" s="2"/>
      <c r="BH93" s="2"/>
      <c r="BI93" s="2"/>
      <c r="BJ93" s="2"/>
      <c r="BK93" s="197"/>
      <c r="BL93" s="197"/>
      <c r="BM93" s="7"/>
      <c r="BN93" s="2"/>
      <c r="BO93" s="2"/>
      <c r="BP93" s="3"/>
      <c r="BQ93" s="405"/>
      <c r="BR93" s="197"/>
      <c r="BS93" s="2"/>
      <c r="BT93" s="2"/>
      <c r="BU93" s="2"/>
      <c r="BV93" s="3"/>
      <c r="BW93" s="405"/>
      <c r="BX93" s="197"/>
      <c r="BY93" s="2"/>
      <c r="BZ93" s="2"/>
      <c r="CA93" s="2"/>
      <c r="CB93" s="3"/>
      <c r="CC93" s="197"/>
      <c r="CD93" s="197"/>
      <c r="CE93" s="2"/>
      <c r="CF93" s="2"/>
      <c r="CG93" s="2"/>
      <c r="CH93" s="2"/>
      <c r="CI93" s="197"/>
      <c r="CJ93" s="197"/>
      <c r="CK93" s="7"/>
      <c r="CL93" s="2"/>
      <c r="CM93" s="2"/>
      <c r="CN93" s="3"/>
      <c r="CO93" s="405"/>
      <c r="CP93" s="197"/>
      <c r="CQ93" s="2"/>
      <c r="CR93" s="2"/>
      <c r="CS93" s="2"/>
      <c r="CT93" s="3"/>
      <c r="CU93" s="405"/>
      <c r="CV93" s="197"/>
      <c r="CW93" s="2"/>
      <c r="CX93" s="2"/>
      <c r="CY93" s="2"/>
      <c r="CZ93" s="3"/>
      <c r="DA93" s="405"/>
      <c r="DB93" s="197"/>
      <c r="DC93" s="2"/>
      <c r="DD93" s="2"/>
      <c r="DE93" s="2"/>
      <c r="DF93" s="3"/>
      <c r="DG93" s="405"/>
      <c r="DH93" s="197"/>
      <c r="DI93" s="2"/>
      <c r="DJ93" s="2"/>
      <c r="DK93" s="2"/>
      <c r="DL93" s="3"/>
      <c r="DM93" s="405"/>
      <c r="DN93" s="197"/>
      <c r="DO93" s="2"/>
      <c r="DP93" s="2"/>
      <c r="DQ93" s="2"/>
      <c r="DR93" s="3"/>
    </row>
    <row r="94" spans="1:122" ht="12.9" customHeight="1" x14ac:dyDescent="0.2">
      <c r="A94" s="9" t="s">
        <v>3521</v>
      </c>
      <c r="B94" s="9">
        <v>18</v>
      </c>
      <c r="C94" s="198" t="s">
        <v>3100</v>
      </c>
      <c r="D94" s="198" t="s">
        <v>579</v>
      </c>
      <c r="E94" s="4" t="s">
        <v>2138</v>
      </c>
      <c r="F94" s="4" t="s">
        <v>2139</v>
      </c>
      <c r="G94" s="4" t="s">
        <v>2140</v>
      </c>
      <c r="H94" s="5" t="s">
        <v>2141</v>
      </c>
      <c r="I94" s="198" t="s">
        <v>2096</v>
      </c>
      <c r="J94" s="198" t="s">
        <v>1879</v>
      </c>
      <c r="K94" s="4" t="s">
        <v>1462</v>
      </c>
      <c r="L94" s="4" t="s">
        <v>2160</v>
      </c>
      <c r="M94" s="4" t="s">
        <v>1463</v>
      </c>
      <c r="N94" s="5" t="s">
        <v>690</v>
      </c>
      <c r="O94" s="497" t="s">
        <v>3101</v>
      </c>
      <c r="P94" s="198" t="s">
        <v>579</v>
      </c>
      <c r="Q94" s="4" t="s">
        <v>822</v>
      </c>
      <c r="R94" s="4" t="s">
        <v>2796</v>
      </c>
      <c r="S94" s="4" t="s">
        <v>427</v>
      </c>
      <c r="T94" s="5" t="s">
        <v>823</v>
      </c>
      <c r="U94" s="198" t="s">
        <v>1908</v>
      </c>
      <c r="V94" s="198" t="s">
        <v>2183</v>
      </c>
      <c r="W94" s="4" t="s">
        <v>2174</v>
      </c>
      <c r="X94" s="4" t="s">
        <v>2175</v>
      </c>
      <c r="Y94" s="4" t="s">
        <v>4052</v>
      </c>
      <c r="Z94" s="5" t="s">
        <v>2173</v>
      </c>
      <c r="AA94" s="198" t="s">
        <v>1871</v>
      </c>
      <c r="AB94" s="198" t="s">
        <v>2662</v>
      </c>
      <c r="AC94" s="4" t="s">
        <v>3246</v>
      </c>
      <c r="AD94" s="4" t="s">
        <v>3247</v>
      </c>
      <c r="AE94" s="4" t="s">
        <v>2665</v>
      </c>
      <c r="AF94" s="5" t="s">
        <v>2666</v>
      </c>
      <c r="AG94" s="497" t="s">
        <v>3102</v>
      </c>
      <c r="AH94" s="198" t="s">
        <v>1378</v>
      </c>
      <c r="AI94" s="530" t="s">
        <v>2523</v>
      </c>
      <c r="AJ94" s="531" t="s">
        <v>3190</v>
      </c>
      <c r="AK94" s="531" t="s">
        <v>3191</v>
      </c>
      <c r="AL94" s="532" t="s">
        <v>3192</v>
      </c>
      <c r="AM94" s="198" t="s">
        <v>1909</v>
      </c>
      <c r="AN94" s="198" t="s">
        <v>2662</v>
      </c>
      <c r="AO94" s="9" t="s">
        <v>830</v>
      </c>
      <c r="AP94" s="4" t="s">
        <v>831</v>
      </c>
      <c r="AQ94" s="4" t="s">
        <v>3988</v>
      </c>
      <c r="AR94" s="5" t="s">
        <v>2942</v>
      </c>
      <c r="AS94" s="198" t="s">
        <v>2097</v>
      </c>
      <c r="AT94" s="198" t="s">
        <v>3822</v>
      </c>
      <c r="AU94" s="4" t="s">
        <v>3911</v>
      </c>
      <c r="AV94" s="4" t="s">
        <v>2946</v>
      </c>
      <c r="AW94" s="4" t="s">
        <v>308</v>
      </c>
      <c r="AX94" s="4" t="s">
        <v>309</v>
      </c>
      <c r="AY94" s="497" t="s">
        <v>3103</v>
      </c>
      <c r="AZ94" s="198" t="s">
        <v>2029</v>
      </c>
      <c r="BA94" s="4" t="s">
        <v>3843</v>
      </c>
      <c r="BB94" s="4" t="s">
        <v>182</v>
      </c>
      <c r="BC94" s="4" t="s">
        <v>560</v>
      </c>
      <c r="BD94" s="5" t="s">
        <v>3609</v>
      </c>
      <c r="BE94" s="198" t="s">
        <v>3104</v>
      </c>
      <c r="BF94" s="198" t="s">
        <v>3750</v>
      </c>
      <c r="BG94" s="530" t="s">
        <v>3180</v>
      </c>
      <c r="BH94" s="531" t="s">
        <v>3181</v>
      </c>
      <c r="BI94" s="531" t="s">
        <v>3949</v>
      </c>
      <c r="BJ94" s="5" t="s">
        <v>3182</v>
      </c>
      <c r="BK94" s="198" t="s">
        <v>3105</v>
      </c>
      <c r="BL94" s="533" t="s">
        <v>3188</v>
      </c>
      <c r="BM94" s="531" t="s">
        <v>3185</v>
      </c>
      <c r="BN94" s="531" t="s">
        <v>3186</v>
      </c>
      <c r="BO94" s="531" t="s">
        <v>3187</v>
      </c>
      <c r="BP94" s="532" t="s">
        <v>1994</v>
      </c>
      <c r="BQ94" s="497" t="s">
        <v>3106</v>
      </c>
      <c r="BR94" s="531" t="s">
        <v>3189</v>
      </c>
      <c r="BS94" s="531" t="s">
        <v>1886</v>
      </c>
      <c r="BT94" s="531" t="s">
        <v>3184</v>
      </c>
      <c r="BU94" s="531" t="s">
        <v>1375</v>
      </c>
      <c r="BV94" s="532" t="s">
        <v>1374</v>
      </c>
      <c r="BW94" s="497"/>
      <c r="BX94" s="198"/>
      <c r="BY94" s="4"/>
      <c r="BZ94" s="4"/>
      <c r="CA94" s="4"/>
      <c r="CB94" s="5"/>
      <c r="CC94" s="198"/>
      <c r="CD94" s="198"/>
      <c r="CE94" s="4"/>
      <c r="CF94" s="4"/>
      <c r="CG94" s="4"/>
      <c r="CH94" s="5"/>
      <c r="CI94" s="198"/>
      <c r="CJ94" s="198"/>
      <c r="CK94" s="4"/>
      <c r="CL94" s="4"/>
      <c r="CM94" s="4"/>
      <c r="CN94" s="5"/>
      <c r="CO94" s="497"/>
      <c r="CP94" s="198"/>
      <c r="CQ94" s="4"/>
      <c r="CR94" s="4"/>
      <c r="CS94" s="4"/>
      <c r="CT94" s="5"/>
      <c r="CU94" s="497"/>
      <c r="CV94" s="198"/>
      <c r="CW94" s="4"/>
      <c r="CX94" s="4"/>
      <c r="CY94" s="4"/>
      <c r="CZ94" s="5"/>
      <c r="DA94" s="497"/>
      <c r="DB94" s="198"/>
      <c r="DC94" s="4"/>
      <c r="DD94" s="4"/>
      <c r="DE94" s="4"/>
      <c r="DF94" s="5"/>
      <c r="DG94" s="497"/>
      <c r="DH94" s="198"/>
      <c r="DI94" s="4"/>
      <c r="DJ94" s="4"/>
      <c r="DK94" s="4"/>
      <c r="DL94" s="5"/>
      <c r="DM94" s="497"/>
      <c r="DN94" s="198"/>
      <c r="DO94" s="4"/>
      <c r="DP94" s="4"/>
      <c r="DQ94" s="4"/>
      <c r="DR94" s="5"/>
    </row>
    <row r="95" spans="1:122" ht="12.9" customHeight="1" x14ac:dyDescent="0.2">
      <c r="A95" s="2"/>
      <c r="B95" s="2"/>
      <c r="C95" s="280"/>
      <c r="D95" s="280"/>
      <c r="E95" s="2"/>
      <c r="F95" s="2"/>
      <c r="G95" s="2"/>
      <c r="H95" s="2"/>
      <c r="I95" s="280"/>
      <c r="J95" s="280"/>
      <c r="K95" s="2"/>
      <c r="L95" s="2"/>
      <c r="M95" s="2"/>
      <c r="N95" s="2"/>
      <c r="O95" s="280"/>
      <c r="P95" s="280"/>
      <c r="Q95" s="2"/>
      <c r="R95" s="2"/>
      <c r="S95" s="2"/>
      <c r="T95" s="2"/>
      <c r="U95" s="510" t="s">
        <v>2263</v>
      </c>
      <c r="V95" s="280"/>
      <c r="W95" s="2"/>
      <c r="X95" s="2"/>
      <c r="Y95" s="2"/>
      <c r="Z95" s="2"/>
      <c r="AA95" s="280"/>
      <c r="AB95" s="280"/>
      <c r="AC95" s="2"/>
      <c r="AD95" s="2"/>
      <c r="AE95" s="2"/>
      <c r="AF95" s="2"/>
      <c r="AG95" s="280"/>
      <c r="AH95" s="280"/>
      <c r="AI95" s="2"/>
      <c r="AJ95" s="2"/>
      <c r="AK95" s="2"/>
      <c r="AL95" s="2"/>
      <c r="AM95" s="510" t="s">
        <v>2263</v>
      </c>
      <c r="AN95" s="280"/>
      <c r="AO95" s="2"/>
      <c r="AP95" s="2"/>
      <c r="AQ95" s="2"/>
      <c r="AR95" s="2"/>
      <c r="AS95" s="280"/>
      <c r="AT95" s="280"/>
      <c r="AU95" s="2"/>
      <c r="AV95" s="2"/>
      <c r="AW95" s="2"/>
      <c r="AX95" s="2"/>
      <c r="AY95" s="280"/>
      <c r="AZ95" s="280"/>
      <c r="BA95" s="2"/>
      <c r="BB95" s="2"/>
      <c r="BC95" s="2"/>
      <c r="BD95" s="2"/>
      <c r="BE95" s="510" t="s">
        <v>2263</v>
      </c>
      <c r="BF95" s="280"/>
      <c r="BG95" s="2"/>
      <c r="BH95" s="2"/>
      <c r="BI95" s="2"/>
      <c r="BJ95" s="2"/>
      <c r="BK95" s="280"/>
      <c r="BL95" s="280"/>
      <c r="BM95" s="2"/>
      <c r="BN95" s="2"/>
      <c r="BO95" s="2"/>
      <c r="BP95" s="2"/>
      <c r="BQ95" s="280"/>
      <c r="BR95" s="280"/>
      <c r="BS95" s="2"/>
      <c r="BT95" s="2"/>
      <c r="BU95" s="2"/>
      <c r="BV95" s="2"/>
      <c r="BW95" s="510" t="s">
        <v>2263</v>
      </c>
      <c r="BX95" s="280"/>
      <c r="BY95" s="2"/>
      <c r="BZ95" s="2"/>
      <c r="CA95" s="2"/>
      <c r="CB95" s="2"/>
      <c r="CC95" s="280"/>
      <c r="CD95" s="280"/>
      <c r="CE95" s="2"/>
      <c r="CF95" s="2"/>
      <c r="CG95" s="2"/>
      <c r="CH95" s="2"/>
      <c r="CI95" s="280"/>
      <c r="CJ95" s="280"/>
      <c r="CK95" s="2"/>
      <c r="CL95" s="2"/>
      <c r="CM95" s="2"/>
      <c r="CN95" s="2"/>
      <c r="CO95" s="510" t="s">
        <v>2263</v>
      </c>
      <c r="CP95" s="280"/>
      <c r="CQ95" s="2"/>
      <c r="CR95" s="2"/>
      <c r="CS95" s="2"/>
      <c r="CT95" s="2"/>
      <c r="CU95" s="280"/>
      <c r="CV95" s="280"/>
      <c r="CW95" s="2"/>
      <c r="CX95" s="2"/>
      <c r="CY95" s="2"/>
      <c r="CZ95" s="2"/>
      <c r="DA95" s="280"/>
      <c r="DB95" s="280"/>
      <c r="DC95" s="2"/>
      <c r="DD95" s="2"/>
      <c r="DE95" s="2"/>
      <c r="DF95" s="2"/>
      <c r="DG95" s="510" t="s">
        <v>2263</v>
      </c>
      <c r="DH95" s="280"/>
      <c r="DI95" s="2"/>
      <c r="DJ95" s="2"/>
      <c r="DK95" s="2"/>
      <c r="DL95" s="2"/>
      <c r="DM95" s="280"/>
      <c r="DN95" s="280"/>
      <c r="DO95" s="2"/>
      <c r="DP95" s="2"/>
      <c r="DQ95" s="2"/>
      <c r="DR95" s="2"/>
    </row>
    <row r="96" spans="1:122" ht="12.9" customHeight="1" x14ac:dyDescent="0.2">
      <c r="A96" s="509" t="s">
        <v>2012</v>
      </c>
      <c r="B96" s="494"/>
      <c r="C96" s="675" t="s">
        <v>3174</v>
      </c>
      <c r="D96" s="676"/>
      <c r="E96" s="676"/>
      <c r="F96" s="676"/>
      <c r="G96" s="676"/>
      <c r="H96" s="677"/>
      <c r="I96" s="675" t="s">
        <v>3175</v>
      </c>
      <c r="J96" s="676"/>
      <c r="K96" s="676"/>
      <c r="L96" s="676"/>
      <c r="M96" s="676"/>
      <c r="N96" s="677"/>
      <c r="O96" s="675" t="s">
        <v>3176</v>
      </c>
      <c r="P96" s="676"/>
      <c r="Q96" s="676"/>
      <c r="R96" s="676"/>
      <c r="S96" s="676"/>
      <c r="T96" s="677"/>
      <c r="U96" s="675" t="s">
        <v>3177</v>
      </c>
      <c r="V96" s="676"/>
      <c r="W96" s="676"/>
      <c r="X96" s="676"/>
      <c r="Y96" s="676"/>
      <c r="Z96" s="677"/>
      <c r="AA96" s="675" t="s">
        <v>3178</v>
      </c>
      <c r="AB96" s="676"/>
      <c r="AC96" s="676"/>
      <c r="AD96" s="676"/>
      <c r="AE96" s="676"/>
      <c r="AF96" s="677"/>
      <c r="AG96" s="675" t="s">
        <v>3179</v>
      </c>
      <c r="AH96" s="676"/>
      <c r="AI96" s="676"/>
      <c r="AJ96" s="676"/>
      <c r="AK96" s="676"/>
      <c r="AL96" s="677"/>
      <c r="AM96" s="675" t="s">
        <v>2403</v>
      </c>
      <c r="AN96" s="676"/>
      <c r="AO96" s="676"/>
      <c r="AP96" s="676"/>
      <c r="AQ96" s="676"/>
      <c r="AR96" s="677"/>
      <c r="AS96" s="675" t="s">
        <v>2404</v>
      </c>
      <c r="AT96" s="676"/>
      <c r="AU96" s="676"/>
      <c r="AV96" s="676"/>
      <c r="AW96" s="676"/>
      <c r="AX96" s="677"/>
      <c r="AY96" s="675" t="s">
        <v>2405</v>
      </c>
      <c r="AZ96" s="676"/>
      <c r="BA96" s="676"/>
      <c r="BB96" s="676"/>
      <c r="BC96" s="676"/>
      <c r="BD96" s="677"/>
      <c r="BE96" s="675" t="s">
        <v>2406</v>
      </c>
      <c r="BF96" s="676"/>
      <c r="BG96" s="676"/>
      <c r="BH96" s="676"/>
      <c r="BI96" s="676"/>
      <c r="BJ96" s="677"/>
      <c r="BK96" s="675" t="s">
        <v>2407</v>
      </c>
      <c r="BL96" s="676"/>
      <c r="BM96" s="676"/>
      <c r="BN96" s="676"/>
      <c r="BO96" s="676"/>
      <c r="BP96" s="677"/>
      <c r="BQ96" s="675" t="s">
        <v>3313</v>
      </c>
      <c r="BR96" s="676"/>
      <c r="BS96" s="676"/>
      <c r="BT96" s="676"/>
      <c r="BU96" s="676"/>
      <c r="BV96" s="677"/>
      <c r="BW96" s="675" t="s">
        <v>3314</v>
      </c>
      <c r="BX96" s="676"/>
      <c r="BY96" s="676"/>
      <c r="BZ96" s="676"/>
      <c r="CA96" s="676"/>
      <c r="CB96" s="677"/>
      <c r="CC96" s="675" t="s">
        <v>3315</v>
      </c>
      <c r="CD96" s="676"/>
      <c r="CE96" s="676"/>
      <c r="CF96" s="676"/>
      <c r="CG96" s="676"/>
      <c r="CH96" s="677"/>
      <c r="CI96" s="675" t="s">
        <v>3316</v>
      </c>
      <c r="CJ96" s="676"/>
      <c r="CK96" s="676"/>
      <c r="CL96" s="676"/>
      <c r="CM96" s="676"/>
      <c r="CN96" s="677"/>
      <c r="CO96" s="675" t="s">
        <v>3317</v>
      </c>
      <c r="CP96" s="676"/>
      <c r="CQ96" s="676"/>
      <c r="CR96" s="676"/>
      <c r="CS96" s="676"/>
      <c r="CT96" s="677"/>
      <c r="CU96" s="675" t="s">
        <v>25</v>
      </c>
      <c r="CV96" s="676"/>
      <c r="CW96" s="676"/>
      <c r="CX96" s="676"/>
      <c r="CY96" s="676"/>
      <c r="CZ96" s="677"/>
      <c r="DA96" s="675" t="s">
        <v>26</v>
      </c>
      <c r="DB96" s="676"/>
      <c r="DC96" s="676"/>
      <c r="DD96" s="676"/>
      <c r="DE96" s="676"/>
      <c r="DF96" s="677"/>
      <c r="DG96" s="675" t="s">
        <v>27</v>
      </c>
      <c r="DH96" s="676"/>
      <c r="DI96" s="676"/>
      <c r="DJ96" s="676"/>
      <c r="DK96" s="676"/>
      <c r="DL96" s="677"/>
      <c r="DM96" s="675" t="s">
        <v>384</v>
      </c>
      <c r="DN96" s="676"/>
      <c r="DO96" s="676"/>
      <c r="DP96" s="676"/>
      <c r="DQ96" s="676"/>
      <c r="DR96" s="677"/>
    </row>
    <row r="97" spans="1:122" ht="12.9" customHeight="1" x14ac:dyDescent="0.2">
      <c r="A97" s="510" t="s">
        <v>2263</v>
      </c>
      <c r="B97" s="9"/>
      <c r="D97" s="498"/>
      <c r="E97" s="4" t="s">
        <v>2017</v>
      </c>
      <c r="F97" s="4" t="s">
        <v>2018</v>
      </c>
      <c r="G97" s="4" t="s">
        <v>2019</v>
      </c>
      <c r="H97" s="5" t="s">
        <v>2020</v>
      </c>
      <c r="I97" s="497"/>
      <c r="J97" s="498"/>
      <c r="K97" s="4" t="s">
        <v>2017</v>
      </c>
      <c r="L97" s="4" t="s">
        <v>2018</v>
      </c>
      <c r="M97" s="4" t="s">
        <v>2019</v>
      </c>
      <c r="N97" s="5" t="s">
        <v>2020</v>
      </c>
      <c r="O97" s="497"/>
      <c r="P97" s="498"/>
      <c r="Q97" s="4" t="s">
        <v>2017</v>
      </c>
      <c r="R97" s="4" t="s">
        <v>2018</v>
      </c>
      <c r="S97" s="4" t="s">
        <v>2019</v>
      </c>
      <c r="T97" s="5" t="s">
        <v>2020</v>
      </c>
      <c r="U97" s="497"/>
      <c r="V97" s="498"/>
      <c r="W97" s="4" t="s">
        <v>2017</v>
      </c>
      <c r="X97" s="4" t="s">
        <v>2018</v>
      </c>
      <c r="Y97" s="4" t="s">
        <v>2019</v>
      </c>
      <c r="Z97" s="5" t="s">
        <v>2020</v>
      </c>
      <c r="AA97" s="497"/>
      <c r="AB97" s="498"/>
      <c r="AC97" s="4" t="s">
        <v>2017</v>
      </c>
      <c r="AD97" s="4" t="s">
        <v>2018</v>
      </c>
      <c r="AE97" s="4" t="s">
        <v>2019</v>
      </c>
      <c r="AF97" s="5" t="s">
        <v>2020</v>
      </c>
      <c r="AG97" s="497"/>
      <c r="AH97" s="498"/>
      <c r="AI97" s="4" t="s">
        <v>2017</v>
      </c>
      <c r="AJ97" s="4" t="s">
        <v>2018</v>
      </c>
      <c r="AK97" s="4" t="s">
        <v>2019</v>
      </c>
      <c r="AL97" s="5" t="s">
        <v>2020</v>
      </c>
      <c r="AM97" s="497"/>
      <c r="AN97" s="498"/>
      <c r="AO97" s="4" t="s">
        <v>2017</v>
      </c>
      <c r="AP97" s="4" t="s">
        <v>2018</v>
      </c>
      <c r="AQ97" s="4" t="s">
        <v>2019</v>
      </c>
      <c r="AR97" s="5" t="s">
        <v>2020</v>
      </c>
      <c r="AS97" s="497"/>
      <c r="AT97" s="498"/>
      <c r="AU97" s="4" t="s">
        <v>2017</v>
      </c>
      <c r="AV97" s="4" t="s">
        <v>2018</v>
      </c>
      <c r="AW97" s="4" t="s">
        <v>2019</v>
      </c>
      <c r="AX97" s="5" t="s">
        <v>2020</v>
      </c>
      <c r="AY97" s="497"/>
      <c r="AZ97" s="498"/>
      <c r="BA97" s="4" t="s">
        <v>2017</v>
      </c>
      <c r="BB97" s="4" t="s">
        <v>2018</v>
      </c>
      <c r="BC97" s="4" t="s">
        <v>2019</v>
      </c>
      <c r="BD97" s="5" t="s">
        <v>2020</v>
      </c>
      <c r="BE97" s="497"/>
      <c r="BF97" s="498"/>
      <c r="BG97" s="4" t="s">
        <v>2017</v>
      </c>
      <c r="BH97" s="4" t="s">
        <v>2018</v>
      </c>
      <c r="BI97" s="4" t="s">
        <v>2019</v>
      </c>
      <c r="BJ97" s="5" t="s">
        <v>2020</v>
      </c>
      <c r="BK97" s="497"/>
      <c r="BL97" s="498"/>
      <c r="BM97" s="4" t="s">
        <v>2017</v>
      </c>
      <c r="BN97" s="4" t="s">
        <v>2018</v>
      </c>
      <c r="BO97" s="4" t="s">
        <v>2019</v>
      </c>
      <c r="BP97" s="5" t="s">
        <v>2020</v>
      </c>
      <c r="BQ97" s="497"/>
      <c r="BR97" s="498"/>
      <c r="BS97" s="4" t="s">
        <v>2017</v>
      </c>
      <c r="BT97" s="4" t="s">
        <v>2018</v>
      </c>
      <c r="BU97" s="4" t="s">
        <v>2019</v>
      </c>
      <c r="BV97" s="5" t="s">
        <v>2020</v>
      </c>
      <c r="BW97" s="497"/>
      <c r="BX97" s="498"/>
      <c r="BY97" s="4" t="s">
        <v>2017</v>
      </c>
      <c r="BZ97" s="4" t="s">
        <v>2018</v>
      </c>
      <c r="CA97" s="4" t="s">
        <v>2019</v>
      </c>
      <c r="CB97" s="5" t="s">
        <v>2020</v>
      </c>
      <c r="CD97" s="498"/>
      <c r="CE97" s="4" t="s">
        <v>2017</v>
      </c>
      <c r="CF97" s="4" t="s">
        <v>2018</v>
      </c>
      <c r="CG97" s="4" t="s">
        <v>2019</v>
      </c>
      <c r="CH97" s="5" t="s">
        <v>2020</v>
      </c>
      <c r="CI97" s="497"/>
      <c r="CJ97" s="498"/>
      <c r="CK97" s="4" t="s">
        <v>2017</v>
      </c>
      <c r="CL97" s="4" t="s">
        <v>2018</v>
      </c>
      <c r="CM97" s="4" t="s">
        <v>2019</v>
      </c>
      <c r="CN97" s="5" t="s">
        <v>2020</v>
      </c>
      <c r="CO97" s="497"/>
      <c r="CP97" s="498"/>
      <c r="CQ97" s="4" t="s">
        <v>2017</v>
      </c>
      <c r="CR97" s="4" t="s">
        <v>2018</v>
      </c>
      <c r="CS97" s="4" t="s">
        <v>2019</v>
      </c>
      <c r="CT97" s="5" t="s">
        <v>2020</v>
      </c>
      <c r="CU97" s="497"/>
      <c r="CV97" s="498"/>
      <c r="CW97" s="4" t="s">
        <v>2017</v>
      </c>
      <c r="CX97" s="4" t="s">
        <v>2018</v>
      </c>
      <c r="CY97" s="4" t="s">
        <v>2019</v>
      </c>
      <c r="CZ97" s="5" t="s">
        <v>2020</v>
      </c>
      <c r="DA97" s="497"/>
      <c r="DB97" s="498"/>
      <c r="DC97" s="4" t="s">
        <v>2017</v>
      </c>
      <c r="DD97" s="4" t="s">
        <v>2018</v>
      </c>
      <c r="DE97" s="4" t="s">
        <v>2019</v>
      </c>
      <c r="DF97" s="5" t="s">
        <v>2020</v>
      </c>
      <c r="DG97" s="497"/>
      <c r="DH97" s="498"/>
      <c r="DI97" s="4" t="s">
        <v>2017</v>
      </c>
      <c r="DJ97" s="4" t="s">
        <v>2018</v>
      </c>
      <c r="DK97" s="4" t="s">
        <v>2019</v>
      </c>
      <c r="DL97" s="5" t="s">
        <v>2020</v>
      </c>
      <c r="DM97" s="497"/>
      <c r="DN97" s="498"/>
      <c r="DO97" s="4" t="s">
        <v>2017</v>
      </c>
      <c r="DP97" s="4" t="s">
        <v>2018</v>
      </c>
      <c r="DQ97" s="4" t="s">
        <v>2019</v>
      </c>
      <c r="DR97" s="5" t="s">
        <v>2020</v>
      </c>
    </row>
    <row r="98" spans="1:122" ht="12.9" customHeight="1" x14ac:dyDescent="0.2">
      <c r="A98" s="511" t="s">
        <v>707</v>
      </c>
      <c r="B98" s="7"/>
      <c r="C98" s="499" t="s">
        <v>3624</v>
      </c>
      <c r="D98" s="197" t="s">
        <v>579</v>
      </c>
      <c r="E98" s="1" t="s">
        <v>3389</v>
      </c>
      <c r="F98" s="1" t="s">
        <v>717</v>
      </c>
      <c r="G98" s="1" t="s">
        <v>718</v>
      </c>
      <c r="H98" s="3" t="s">
        <v>297</v>
      </c>
      <c r="I98" s="197" t="s">
        <v>729</v>
      </c>
      <c r="J98" s="197" t="s">
        <v>730</v>
      </c>
      <c r="K98" s="1" t="s">
        <v>1747</v>
      </c>
      <c r="L98" s="1" t="s">
        <v>731</v>
      </c>
      <c r="M98" s="1" t="s">
        <v>298</v>
      </c>
      <c r="N98" s="1" t="s">
        <v>687</v>
      </c>
      <c r="O98" s="405" t="s">
        <v>3144</v>
      </c>
      <c r="P98" s="197"/>
      <c r="Q98" s="1"/>
      <c r="R98" s="1"/>
      <c r="S98" s="1"/>
      <c r="T98" s="404"/>
      <c r="U98" s="499" t="s">
        <v>3625</v>
      </c>
      <c r="V98" s="197" t="s">
        <v>730</v>
      </c>
      <c r="W98" s="419" t="s">
        <v>4042</v>
      </c>
      <c r="X98" s="419" t="s">
        <v>2770</v>
      </c>
      <c r="Y98" s="419" t="s">
        <v>1722</v>
      </c>
      <c r="Z98" s="419" t="s">
        <v>1682</v>
      </c>
      <c r="AA98" s="197" t="s">
        <v>3626</v>
      </c>
      <c r="AB98" s="197" t="s">
        <v>130</v>
      </c>
      <c r="AC98" s="419" t="s">
        <v>235</v>
      </c>
      <c r="AD98" s="419" t="s">
        <v>236</v>
      </c>
      <c r="AE98" s="419" t="s">
        <v>237</v>
      </c>
      <c r="AF98" s="419" t="s">
        <v>238</v>
      </c>
      <c r="AG98" s="405" t="s">
        <v>846</v>
      </c>
      <c r="AH98" s="197" t="s">
        <v>847</v>
      </c>
      <c r="AI98" s="2" t="s">
        <v>3195</v>
      </c>
      <c r="AJ98" s="2" t="s">
        <v>3196</v>
      </c>
      <c r="AK98" s="2" t="s">
        <v>3197</v>
      </c>
      <c r="AL98" s="404" t="s">
        <v>522</v>
      </c>
      <c r="AM98" s="499" t="s">
        <v>3627</v>
      </c>
      <c r="AN98" s="197" t="s">
        <v>817</v>
      </c>
      <c r="AO98" s="419" t="s">
        <v>306</v>
      </c>
      <c r="AP98" s="419" t="s">
        <v>2540</v>
      </c>
      <c r="AQ98" s="419" t="s">
        <v>1852</v>
      </c>
      <c r="AR98" s="419" t="s">
        <v>307</v>
      </c>
      <c r="AS98" s="197"/>
      <c r="AT98" s="197"/>
      <c r="AX98" s="3"/>
      <c r="AY98" s="405"/>
      <c r="AZ98" s="197"/>
      <c r="BA98" s="1"/>
      <c r="BB98" s="1"/>
      <c r="BC98" s="1"/>
      <c r="BD98" s="404"/>
      <c r="BE98" s="499"/>
      <c r="BF98" s="197"/>
      <c r="BG98" s="2"/>
      <c r="BH98" s="2"/>
      <c r="BI98" s="2"/>
      <c r="BJ98" s="2"/>
      <c r="BK98" s="197"/>
      <c r="BL98" s="197"/>
      <c r="BP98" s="3"/>
      <c r="BQ98" s="405"/>
      <c r="BR98" s="197"/>
      <c r="BS98" s="1"/>
      <c r="BT98" s="1"/>
      <c r="BU98" s="1"/>
      <c r="BV98" s="404"/>
      <c r="BW98" s="405"/>
      <c r="BX98" s="197"/>
      <c r="BY98" s="1"/>
      <c r="BZ98" s="1"/>
      <c r="CA98" s="1"/>
      <c r="CB98" s="404"/>
      <c r="CC98" s="499"/>
      <c r="CD98" s="197"/>
      <c r="CE98" s="2"/>
      <c r="CF98" s="2"/>
      <c r="CG98" s="2"/>
      <c r="CH98" s="2"/>
      <c r="CI98" s="197"/>
      <c r="CJ98" s="197"/>
      <c r="CN98" s="404"/>
      <c r="CO98" s="405"/>
      <c r="CP98" s="197"/>
      <c r="CQ98" s="1"/>
      <c r="CR98" s="1"/>
      <c r="CS98" s="1"/>
      <c r="CT98" s="404"/>
      <c r="CU98" s="405"/>
      <c r="CV98" s="197"/>
      <c r="CW98" s="1"/>
      <c r="CX98" s="1"/>
      <c r="CY98" s="1"/>
      <c r="CZ98" s="404"/>
      <c r="DA98" s="405"/>
      <c r="DB98" s="197"/>
      <c r="DC98" s="1"/>
      <c r="DD98" s="1"/>
      <c r="DE98" s="1"/>
      <c r="DF98" s="404"/>
      <c r="DG98" s="405"/>
      <c r="DH98" s="197"/>
      <c r="DI98" s="1"/>
      <c r="DJ98" s="1"/>
      <c r="DK98" s="1"/>
      <c r="DL98" s="404"/>
      <c r="DM98" s="405"/>
      <c r="DN98" s="197"/>
      <c r="DO98" s="1"/>
      <c r="DP98" s="1"/>
      <c r="DQ98" s="1"/>
      <c r="DR98" s="404"/>
    </row>
    <row r="99" spans="1:122" ht="12.9" customHeight="1" x14ac:dyDescent="0.2">
      <c r="A99" s="7" t="s">
        <v>2264</v>
      </c>
      <c r="B99" s="7"/>
      <c r="C99" s="405" t="s">
        <v>481</v>
      </c>
      <c r="D99" s="197" t="s">
        <v>2041</v>
      </c>
      <c r="E99" s="2" t="s">
        <v>1529</v>
      </c>
      <c r="F99" s="2" t="s">
        <v>482</v>
      </c>
      <c r="G99" s="2" t="s">
        <v>3682</v>
      </c>
      <c r="H99" s="3" t="s">
        <v>208</v>
      </c>
      <c r="I99" s="197" t="s">
        <v>3681</v>
      </c>
      <c r="J99" s="197" t="s">
        <v>130</v>
      </c>
      <c r="K99" s="2" t="s">
        <v>2739</v>
      </c>
      <c r="L99" s="2" t="s">
        <v>4258</v>
      </c>
      <c r="M99" s="2" t="s">
        <v>701</v>
      </c>
      <c r="N99" s="2" t="s">
        <v>4259</v>
      </c>
      <c r="O99" s="405" t="s">
        <v>3628</v>
      </c>
      <c r="P99" s="197" t="s">
        <v>4249</v>
      </c>
      <c r="Q99" s="1" t="s">
        <v>796</v>
      </c>
      <c r="R99" s="1" t="s">
        <v>518</v>
      </c>
      <c r="S99" s="1" t="s">
        <v>519</v>
      </c>
      <c r="T99" s="3" t="s">
        <v>3543</v>
      </c>
      <c r="U99" s="197" t="s">
        <v>846</v>
      </c>
      <c r="V99" s="197" t="s">
        <v>847</v>
      </c>
      <c r="W99" s="2" t="s">
        <v>3195</v>
      </c>
      <c r="X99" s="2" t="s">
        <v>3196</v>
      </c>
      <c r="Y99" s="2" t="s">
        <v>3197</v>
      </c>
      <c r="Z99" s="3" t="s">
        <v>522</v>
      </c>
      <c r="AA99" s="197" t="s">
        <v>476</v>
      </c>
      <c r="AB99" s="197" t="s">
        <v>3526</v>
      </c>
      <c r="AC99" s="2" t="s">
        <v>3094</v>
      </c>
      <c r="AD99" s="2" t="s">
        <v>644</v>
      </c>
      <c r="AE99" s="2" t="s">
        <v>561</v>
      </c>
      <c r="AF99" s="2" t="s">
        <v>562</v>
      </c>
      <c r="AG99" s="405" t="s">
        <v>3618</v>
      </c>
      <c r="AH99" s="197" t="s">
        <v>3357</v>
      </c>
      <c r="AI99" s="419" t="s">
        <v>2492</v>
      </c>
      <c r="AJ99" s="419" t="s">
        <v>2491</v>
      </c>
      <c r="AK99" s="419" t="s">
        <v>702</v>
      </c>
      <c r="AL99" s="479" t="s">
        <v>737</v>
      </c>
      <c r="AM99" s="405" t="s">
        <v>3319</v>
      </c>
      <c r="AN99" s="197" t="s">
        <v>2041</v>
      </c>
      <c r="AO99" s="2" t="s">
        <v>3629</v>
      </c>
      <c r="AP99" s="2" t="s">
        <v>3916</v>
      </c>
      <c r="AQ99" s="2" t="s">
        <v>3630</v>
      </c>
      <c r="AR99" s="3" t="s">
        <v>3917</v>
      </c>
      <c r="AS99" s="405" t="s">
        <v>480</v>
      </c>
      <c r="AT99" s="197" t="s">
        <v>2272</v>
      </c>
      <c r="AU99" s="419" t="s">
        <v>1683</v>
      </c>
      <c r="AV99" s="419" t="s">
        <v>3632</v>
      </c>
      <c r="AW99" s="419" t="s">
        <v>2274</v>
      </c>
      <c r="AX99" s="419" t="s">
        <v>1684</v>
      </c>
      <c r="AY99" s="405" t="s">
        <v>3625</v>
      </c>
      <c r="AZ99" s="197" t="s">
        <v>730</v>
      </c>
      <c r="BA99" s="419" t="s">
        <v>4042</v>
      </c>
      <c r="BB99" s="419" t="s">
        <v>2770</v>
      </c>
      <c r="BC99" s="419" t="s">
        <v>1722</v>
      </c>
      <c r="BD99" s="479" t="s">
        <v>1682</v>
      </c>
      <c r="BE99" s="197"/>
      <c r="BF99" s="197"/>
      <c r="BG99" s="2"/>
      <c r="BH99" s="2"/>
      <c r="BI99" s="2"/>
      <c r="BJ99" s="2"/>
      <c r="BK99" s="405"/>
      <c r="BL99" s="197"/>
      <c r="BQ99" s="405"/>
      <c r="BR99" s="197"/>
      <c r="BS99" s="2"/>
      <c r="BT99" s="2"/>
      <c r="BU99" s="2"/>
      <c r="BV99" s="3"/>
      <c r="BW99" s="405"/>
      <c r="BX99" s="197"/>
      <c r="BY99" s="2"/>
      <c r="BZ99" s="2"/>
      <c r="CA99" s="2"/>
      <c r="CB99" s="3"/>
      <c r="CC99" s="197"/>
      <c r="CD99" s="197"/>
      <c r="CE99" s="2"/>
      <c r="CF99" s="2"/>
      <c r="CG99" s="2"/>
      <c r="CH99" s="2"/>
      <c r="CI99" s="405"/>
      <c r="CJ99" s="197"/>
      <c r="CN99" s="3"/>
      <c r="CO99" s="405"/>
      <c r="CP99" s="197"/>
      <c r="CQ99" s="2"/>
      <c r="CR99" s="2"/>
      <c r="CS99" s="2"/>
      <c r="CT99" s="3"/>
      <c r="CU99" s="405"/>
      <c r="CV99" s="197"/>
      <c r="CW99" s="2"/>
      <c r="CX99" s="2"/>
      <c r="CY99" s="2"/>
      <c r="CZ99" s="3"/>
      <c r="DA99" s="405"/>
      <c r="DB99" s="197"/>
      <c r="DC99" s="2"/>
      <c r="DD99" s="2"/>
      <c r="DE99" s="2"/>
      <c r="DF99" s="3"/>
      <c r="DG99" s="405"/>
      <c r="DH99" s="197"/>
      <c r="DI99" s="2"/>
      <c r="DJ99" s="2"/>
      <c r="DK99" s="2"/>
      <c r="DL99" s="3"/>
      <c r="DM99" s="405"/>
      <c r="DN99" s="197"/>
      <c r="DO99" s="2"/>
      <c r="DP99" s="2"/>
      <c r="DQ99" s="2"/>
      <c r="DR99" s="3"/>
    </row>
    <row r="100" spans="1:122" ht="12.9" customHeight="1" x14ac:dyDescent="0.2">
      <c r="A100" s="7" t="s">
        <v>2266</v>
      </c>
      <c r="B100" s="7"/>
      <c r="C100" s="197" t="s">
        <v>403</v>
      </c>
      <c r="D100" s="197" t="s">
        <v>2041</v>
      </c>
      <c r="E100" s="419" t="s">
        <v>1529</v>
      </c>
      <c r="F100" s="419" t="s">
        <v>3012</v>
      </c>
      <c r="G100" s="419" t="s">
        <v>3682</v>
      </c>
      <c r="H100" s="419" t="s">
        <v>1695</v>
      </c>
      <c r="I100" s="197" t="s">
        <v>738</v>
      </c>
      <c r="J100" s="197" t="s">
        <v>2035</v>
      </c>
      <c r="K100" s="2" t="s">
        <v>725</v>
      </c>
      <c r="L100" s="2" t="s">
        <v>1670</v>
      </c>
      <c r="M100" s="2" t="s">
        <v>727</v>
      </c>
      <c r="N100" s="2" t="s">
        <v>728</v>
      </c>
      <c r="O100" s="405" t="s">
        <v>3625</v>
      </c>
      <c r="P100" s="197" t="s">
        <v>730</v>
      </c>
      <c r="Q100" s="419" t="s">
        <v>4042</v>
      </c>
      <c r="R100" s="419" t="s">
        <v>2770</v>
      </c>
      <c r="S100" s="419" t="s">
        <v>1722</v>
      </c>
      <c r="T100" s="479" t="s">
        <v>1682</v>
      </c>
      <c r="U100" s="405" t="s">
        <v>8</v>
      </c>
      <c r="V100" s="197" t="s">
        <v>3357</v>
      </c>
      <c r="W100" s="1" t="s">
        <v>3094</v>
      </c>
      <c r="X100" s="2" t="s">
        <v>523</v>
      </c>
      <c r="Y100" s="1" t="s">
        <v>702</v>
      </c>
      <c r="Z100" s="3" t="s">
        <v>737</v>
      </c>
      <c r="AA100" s="197" t="s">
        <v>404</v>
      </c>
      <c r="AB100" s="197" t="s">
        <v>405</v>
      </c>
      <c r="AC100" s="419" t="s">
        <v>1755</v>
      </c>
      <c r="AD100" s="419" t="s">
        <v>1756</v>
      </c>
      <c r="AE100" s="419" t="s">
        <v>1757</v>
      </c>
      <c r="AF100" s="419" t="s">
        <v>1758</v>
      </c>
      <c r="AG100" s="405"/>
      <c r="AH100" s="197"/>
      <c r="AI100" s="2"/>
      <c r="AJ100" s="2"/>
      <c r="AK100" s="2"/>
      <c r="AL100" s="3"/>
      <c r="AM100" s="197"/>
      <c r="AN100" s="197"/>
      <c r="AS100" s="197"/>
      <c r="AT100" s="197"/>
      <c r="AU100" s="2"/>
      <c r="AV100" s="2"/>
      <c r="AW100" s="2"/>
      <c r="AX100" s="2"/>
      <c r="AY100" s="405"/>
      <c r="AZ100" s="197"/>
      <c r="BA100" s="2"/>
      <c r="BB100" s="2"/>
      <c r="BC100" s="2"/>
      <c r="BD100" s="3"/>
      <c r="BE100" s="197"/>
      <c r="BF100" s="197"/>
      <c r="BK100" s="197"/>
      <c r="BL100" s="197"/>
      <c r="BM100" s="2"/>
      <c r="BN100" s="2"/>
      <c r="BO100" s="2"/>
      <c r="BP100" s="2"/>
      <c r="BQ100" s="405"/>
      <c r="BR100" s="197"/>
      <c r="BS100" s="2"/>
      <c r="BT100" s="2"/>
      <c r="BU100" s="2"/>
      <c r="BV100" s="3"/>
      <c r="BW100" s="405"/>
      <c r="BX100" s="197"/>
      <c r="BY100" s="2"/>
      <c r="BZ100" s="2"/>
      <c r="CA100" s="2"/>
      <c r="CB100" s="3"/>
      <c r="CC100" s="197"/>
      <c r="CD100" s="197"/>
      <c r="CI100" s="197"/>
      <c r="CJ100" s="197"/>
      <c r="CK100" s="2"/>
      <c r="CL100" s="2"/>
      <c r="CM100" s="2"/>
      <c r="CN100" s="3"/>
      <c r="CO100" s="405"/>
      <c r="CP100" s="197"/>
      <c r="CQ100" s="2"/>
      <c r="CR100" s="2"/>
      <c r="CS100" s="2"/>
      <c r="CT100" s="3"/>
      <c r="CU100" s="405"/>
      <c r="CV100" s="197"/>
      <c r="CW100" s="2"/>
      <c r="CX100" s="2"/>
      <c r="CY100" s="2"/>
      <c r="CZ100" s="3"/>
      <c r="DA100" s="405"/>
      <c r="DB100" s="197"/>
      <c r="DC100" s="2"/>
      <c r="DD100" s="2"/>
      <c r="DE100" s="2"/>
      <c r="DF100" s="3"/>
      <c r="DG100" s="405"/>
      <c r="DH100" s="197"/>
      <c r="DI100" s="2"/>
      <c r="DJ100" s="2"/>
      <c r="DK100" s="2"/>
      <c r="DL100" s="3"/>
      <c r="DM100" s="405"/>
      <c r="DN100" s="197"/>
      <c r="DO100" s="2"/>
      <c r="DP100" s="2"/>
      <c r="DQ100" s="2"/>
      <c r="DR100" s="3"/>
    </row>
    <row r="101" spans="1:122" ht="12.9" customHeight="1" x14ac:dyDescent="0.2">
      <c r="A101" s="7" t="s">
        <v>2275</v>
      </c>
      <c r="B101" s="7"/>
      <c r="C101" s="512" t="s">
        <v>732</v>
      </c>
      <c r="D101" s="197"/>
      <c r="E101" s="1" t="s">
        <v>3215</v>
      </c>
      <c r="F101" s="1" t="s">
        <v>3215</v>
      </c>
      <c r="G101" s="1" t="s">
        <v>3215</v>
      </c>
      <c r="H101" s="1" t="s">
        <v>3215</v>
      </c>
      <c r="I101" s="405" t="s">
        <v>3215</v>
      </c>
      <c r="J101" s="197" t="s">
        <v>3215</v>
      </c>
      <c r="K101" s="2" t="s">
        <v>3215</v>
      </c>
      <c r="L101" s="2" t="s">
        <v>3215</v>
      </c>
      <c r="M101" s="2" t="s">
        <v>3215</v>
      </c>
      <c r="N101" s="2" t="s">
        <v>3215</v>
      </c>
      <c r="O101" s="405" t="s">
        <v>3215</v>
      </c>
      <c r="P101" s="197" t="s">
        <v>3215</v>
      </c>
      <c r="Q101" s="2" t="s">
        <v>3215</v>
      </c>
      <c r="R101" s="2" t="s">
        <v>3215</v>
      </c>
      <c r="S101" s="2" t="s">
        <v>3215</v>
      </c>
      <c r="T101" s="3" t="s">
        <v>3215</v>
      </c>
      <c r="U101" s="512" t="s">
        <v>732</v>
      </c>
      <c r="V101" s="197"/>
      <c r="W101" s="1" t="s">
        <v>3215</v>
      </c>
      <c r="X101" s="1" t="s">
        <v>3215</v>
      </c>
      <c r="Y101" s="1" t="s">
        <v>3215</v>
      </c>
      <c r="Z101" s="1" t="s">
        <v>3215</v>
      </c>
      <c r="AA101" s="405" t="s">
        <v>3215</v>
      </c>
      <c r="AB101" s="197" t="s">
        <v>3215</v>
      </c>
      <c r="AC101" s="2" t="s">
        <v>3215</v>
      </c>
      <c r="AD101" s="2" t="s">
        <v>3215</v>
      </c>
      <c r="AE101" s="2" t="s">
        <v>3215</v>
      </c>
      <c r="AF101" s="2" t="s">
        <v>3215</v>
      </c>
      <c r="AG101" s="405" t="s">
        <v>3215</v>
      </c>
      <c r="AH101" s="197" t="s">
        <v>3215</v>
      </c>
      <c r="AI101" s="2" t="s">
        <v>3215</v>
      </c>
      <c r="AJ101" s="2" t="s">
        <v>3215</v>
      </c>
      <c r="AK101" s="2" t="s">
        <v>3215</v>
      </c>
      <c r="AL101" s="3" t="s">
        <v>3215</v>
      </c>
      <c r="AM101" s="512" t="s">
        <v>732</v>
      </c>
      <c r="AN101" s="197"/>
      <c r="AO101" s="1" t="s">
        <v>3215</v>
      </c>
      <c r="AP101" s="1" t="s">
        <v>3215</v>
      </c>
      <c r="AQ101" s="1" t="s">
        <v>3215</v>
      </c>
      <c r="AR101" s="1" t="s">
        <v>3215</v>
      </c>
      <c r="AS101" s="405" t="s">
        <v>3215</v>
      </c>
      <c r="AT101" s="197" t="s">
        <v>3215</v>
      </c>
      <c r="AU101" s="2" t="s">
        <v>3215</v>
      </c>
      <c r="AV101" s="2" t="s">
        <v>3215</v>
      </c>
      <c r="AW101" s="2" t="s">
        <v>3215</v>
      </c>
      <c r="AX101" s="2" t="s">
        <v>3215</v>
      </c>
      <c r="AY101" s="405" t="s">
        <v>3215</v>
      </c>
      <c r="AZ101" s="197" t="s">
        <v>3215</v>
      </c>
      <c r="BA101" s="2" t="s">
        <v>3215</v>
      </c>
      <c r="BB101" s="2" t="s">
        <v>3215</v>
      </c>
      <c r="BC101" s="2" t="s">
        <v>3215</v>
      </c>
      <c r="BD101" s="3" t="s">
        <v>3215</v>
      </c>
      <c r="BE101" s="512" t="s">
        <v>732</v>
      </c>
      <c r="BF101" s="197"/>
      <c r="BG101" s="1" t="s">
        <v>3215</v>
      </c>
      <c r="BH101" s="1" t="s">
        <v>3215</v>
      </c>
      <c r="BI101" s="1" t="s">
        <v>3215</v>
      </c>
      <c r="BJ101" s="1" t="s">
        <v>3215</v>
      </c>
      <c r="BK101" s="405" t="s">
        <v>3215</v>
      </c>
      <c r="BL101" s="197" t="s">
        <v>3215</v>
      </c>
      <c r="BM101" s="2" t="s">
        <v>3215</v>
      </c>
      <c r="BN101" s="2" t="s">
        <v>3215</v>
      </c>
      <c r="BO101" s="2" t="s">
        <v>3215</v>
      </c>
      <c r="BP101" s="2" t="s">
        <v>3215</v>
      </c>
      <c r="BQ101" s="405" t="s">
        <v>3215</v>
      </c>
      <c r="BR101" s="197" t="s">
        <v>3215</v>
      </c>
      <c r="BS101" s="2" t="s">
        <v>3215</v>
      </c>
      <c r="BT101" s="2" t="s">
        <v>3215</v>
      </c>
      <c r="BU101" s="2" t="s">
        <v>3215</v>
      </c>
      <c r="BV101" s="3" t="s">
        <v>3215</v>
      </c>
      <c r="BW101" s="405" t="s">
        <v>3215</v>
      </c>
      <c r="BX101" s="197" t="s">
        <v>3215</v>
      </c>
      <c r="BY101" s="2" t="s">
        <v>3215</v>
      </c>
      <c r="BZ101" s="2" t="s">
        <v>3215</v>
      </c>
      <c r="CA101" s="2" t="s">
        <v>3215</v>
      </c>
      <c r="CB101" s="3" t="s">
        <v>3215</v>
      </c>
      <c r="CC101" s="512" t="s">
        <v>732</v>
      </c>
      <c r="CD101" s="197"/>
      <c r="CE101" s="1" t="s">
        <v>3215</v>
      </c>
      <c r="CF101" s="1" t="s">
        <v>3215</v>
      </c>
      <c r="CG101" s="1" t="s">
        <v>3215</v>
      </c>
      <c r="CH101" s="1" t="s">
        <v>3215</v>
      </c>
      <c r="CI101" s="405" t="s">
        <v>3215</v>
      </c>
      <c r="CJ101" s="197" t="s">
        <v>3215</v>
      </c>
      <c r="CK101" s="2" t="s">
        <v>3215</v>
      </c>
      <c r="CL101" s="2" t="s">
        <v>3215</v>
      </c>
      <c r="CM101" s="2" t="s">
        <v>3215</v>
      </c>
      <c r="CN101" s="3" t="s">
        <v>3215</v>
      </c>
      <c r="CO101" s="405" t="s">
        <v>3215</v>
      </c>
      <c r="CP101" s="197" t="s">
        <v>3215</v>
      </c>
      <c r="CQ101" s="2" t="s">
        <v>3215</v>
      </c>
      <c r="CR101" s="2" t="s">
        <v>3215</v>
      </c>
      <c r="CS101" s="2" t="s">
        <v>3215</v>
      </c>
      <c r="CT101" s="3" t="s">
        <v>3215</v>
      </c>
      <c r="CU101" s="405" t="s">
        <v>3215</v>
      </c>
      <c r="CV101" s="197" t="s">
        <v>3215</v>
      </c>
      <c r="CW101" s="2" t="s">
        <v>3215</v>
      </c>
      <c r="CX101" s="2" t="s">
        <v>3215</v>
      </c>
      <c r="CY101" s="2" t="s">
        <v>3215</v>
      </c>
      <c r="CZ101" s="3" t="s">
        <v>3215</v>
      </c>
      <c r="DA101" s="405" t="s">
        <v>3215</v>
      </c>
      <c r="DB101" s="197" t="s">
        <v>3215</v>
      </c>
      <c r="DC101" s="2" t="s">
        <v>3215</v>
      </c>
      <c r="DD101" s="2" t="s">
        <v>3215</v>
      </c>
      <c r="DE101" s="2" t="s">
        <v>3215</v>
      </c>
      <c r="DF101" s="3" t="s">
        <v>3215</v>
      </c>
      <c r="DG101" s="405" t="s">
        <v>3215</v>
      </c>
      <c r="DH101" s="197" t="s">
        <v>3215</v>
      </c>
      <c r="DI101" s="2" t="s">
        <v>3215</v>
      </c>
      <c r="DJ101" s="2" t="s">
        <v>3215</v>
      </c>
      <c r="DK101" s="2" t="s">
        <v>3215</v>
      </c>
      <c r="DL101" s="3" t="s">
        <v>3215</v>
      </c>
      <c r="DM101" s="405" t="s">
        <v>3215</v>
      </c>
      <c r="DN101" s="197" t="s">
        <v>3215</v>
      </c>
      <c r="DO101" s="2" t="s">
        <v>3215</v>
      </c>
      <c r="DP101" s="2" t="s">
        <v>3215</v>
      </c>
      <c r="DQ101" s="2" t="s">
        <v>3215</v>
      </c>
      <c r="DR101" s="3" t="s">
        <v>3215</v>
      </c>
    </row>
    <row r="102" spans="1:122" ht="12.9" customHeight="1" x14ac:dyDescent="0.2">
      <c r="A102" s="7" t="s">
        <v>2276</v>
      </c>
      <c r="B102" s="7">
        <v>26</v>
      </c>
      <c r="C102" s="197" t="s">
        <v>2787</v>
      </c>
      <c r="D102" s="245" t="s">
        <v>2272</v>
      </c>
      <c r="E102" s="2" t="s">
        <v>3387</v>
      </c>
      <c r="F102" s="2" t="s">
        <v>3395</v>
      </c>
      <c r="G102" s="2" t="s">
        <v>3396</v>
      </c>
      <c r="H102" s="3" t="s">
        <v>297</v>
      </c>
      <c r="I102" s="405" t="s">
        <v>3217</v>
      </c>
      <c r="J102" s="197" t="s">
        <v>579</v>
      </c>
      <c r="K102" s="2" t="s">
        <v>3218</v>
      </c>
      <c r="L102" s="2" t="s">
        <v>3219</v>
      </c>
      <c r="M102" s="2" t="s">
        <v>3220</v>
      </c>
      <c r="N102" s="3" t="s">
        <v>2796</v>
      </c>
      <c r="O102" s="405" t="s">
        <v>18</v>
      </c>
      <c r="P102" s="245" t="s">
        <v>4249</v>
      </c>
      <c r="Q102" s="1" t="s">
        <v>1518</v>
      </c>
      <c r="R102" s="1" t="s">
        <v>3685</v>
      </c>
      <c r="S102" s="1" t="s">
        <v>1519</v>
      </c>
      <c r="T102" s="3" t="s">
        <v>1520</v>
      </c>
      <c r="U102" s="405" t="s">
        <v>1527</v>
      </c>
      <c r="V102" s="197" t="s">
        <v>2041</v>
      </c>
      <c r="W102" s="2" t="s">
        <v>1529</v>
      </c>
      <c r="X102" s="2" t="s">
        <v>1458</v>
      </c>
      <c r="Y102" s="2" t="s">
        <v>3543</v>
      </c>
      <c r="Z102" s="3" t="s">
        <v>2457</v>
      </c>
      <c r="AA102" s="405" t="s">
        <v>554</v>
      </c>
      <c r="AB102" s="197" t="s">
        <v>9</v>
      </c>
      <c r="AC102" s="2" t="s">
        <v>556</v>
      </c>
      <c r="AD102" s="2" t="s">
        <v>557</v>
      </c>
      <c r="AE102" s="2" t="s">
        <v>558</v>
      </c>
      <c r="AF102" s="3" t="s">
        <v>559</v>
      </c>
      <c r="AG102" s="405" t="s">
        <v>19</v>
      </c>
      <c r="AH102" s="197" t="s">
        <v>3865</v>
      </c>
      <c r="AI102" s="419" t="s">
        <v>1751</v>
      </c>
      <c r="AJ102" s="419" t="s">
        <v>1752</v>
      </c>
      <c r="AK102" s="419" t="s">
        <v>1753</v>
      </c>
      <c r="AL102" s="479" t="s">
        <v>1754</v>
      </c>
      <c r="AM102" s="197" t="s">
        <v>15</v>
      </c>
      <c r="AN102" s="245" t="s">
        <v>849</v>
      </c>
      <c r="AO102" s="1" t="s">
        <v>1719</v>
      </c>
      <c r="AP102" s="1" t="s">
        <v>690</v>
      </c>
      <c r="AQ102" s="1" t="s">
        <v>852</v>
      </c>
      <c r="AR102" s="1" t="s">
        <v>2193</v>
      </c>
      <c r="AS102" s="405" t="s">
        <v>2792</v>
      </c>
      <c r="AT102" s="197" t="s">
        <v>517</v>
      </c>
      <c r="AU102" s="1" t="s">
        <v>2793</v>
      </c>
      <c r="AV102" s="1" t="s">
        <v>2270</v>
      </c>
      <c r="AW102" s="1" t="s">
        <v>2794</v>
      </c>
      <c r="AX102" s="1" t="s">
        <v>2795</v>
      </c>
      <c r="AY102" s="405" t="s">
        <v>20</v>
      </c>
      <c r="AZ102" s="197" t="s">
        <v>49</v>
      </c>
      <c r="BA102" s="2" t="s">
        <v>865</v>
      </c>
      <c r="BB102" s="2" t="s">
        <v>704</v>
      </c>
      <c r="BC102" s="2" t="s">
        <v>4068</v>
      </c>
      <c r="BD102" s="3" t="s">
        <v>692</v>
      </c>
      <c r="BE102" s="197" t="s">
        <v>792</v>
      </c>
      <c r="BF102" s="197" t="s">
        <v>1860</v>
      </c>
      <c r="BG102" s="2" t="s">
        <v>1861</v>
      </c>
      <c r="BH102" s="2" t="s">
        <v>1862</v>
      </c>
      <c r="BI102" s="2" t="s">
        <v>2190</v>
      </c>
      <c r="BJ102" s="3" t="s">
        <v>794</v>
      </c>
      <c r="BK102" s="197" t="s">
        <v>3681</v>
      </c>
      <c r="BL102" s="197" t="s">
        <v>130</v>
      </c>
      <c r="BM102" s="2" t="s">
        <v>2739</v>
      </c>
      <c r="BN102" s="2" t="s">
        <v>4258</v>
      </c>
      <c r="BO102" s="2" t="s">
        <v>701</v>
      </c>
      <c r="BP102" s="2" t="s">
        <v>4259</v>
      </c>
      <c r="BQ102" s="405" t="s">
        <v>21</v>
      </c>
      <c r="BR102" s="245" t="s">
        <v>4177</v>
      </c>
      <c r="BS102" s="1" t="s">
        <v>4178</v>
      </c>
      <c r="BT102" s="1" t="s">
        <v>4031</v>
      </c>
      <c r="BU102" s="1" t="s">
        <v>4032</v>
      </c>
      <c r="BV102" s="3" t="s">
        <v>2786</v>
      </c>
      <c r="BW102" s="405" t="s">
        <v>22</v>
      </c>
      <c r="BX102" s="197" t="s">
        <v>2272</v>
      </c>
      <c r="BY102" s="534" t="s">
        <v>1880</v>
      </c>
      <c r="BZ102" s="534" t="s">
        <v>3411</v>
      </c>
      <c r="CA102" s="534" t="s">
        <v>276</v>
      </c>
      <c r="CB102" s="419" t="s">
        <v>3412</v>
      </c>
      <c r="CC102" s="197" t="s">
        <v>3400</v>
      </c>
      <c r="CD102" s="197" t="s">
        <v>2804</v>
      </c>
      <c r="CE102" s="419" t="s">
        <v>145</v>
      </c>
      <c r="CF102" s="419" t="s">
        <v>290</v>
      </c>
      <c r="CG102" s="419" t="s">
        <v>1615</v>
      </c>
      <c r="CH102" s="419" t="s">
        <v>857</v>
      </c>
      <c r="CI102" s="405" t="s">
        <v>23</v>
      </c>
      <c r="CJ102" s="197" t="s">
        <v>4075</v>
      </c>
      <c r="CK102" s="2" t="s">
        <v>416</v>
      </c>
      <c r="CL102" s="2" t="s">
        <v>3262</v>
      </c>
      <c r="CM102" s="2" t="s">
        <v>808</v>
      </c>
      <c r="CN102" s="3" t="s">
        <v>3263</v>
      </c>
      <c r="CO102" s="405" t="s">
        <v>12</v>
      </c>
      <c r="CP102" s="197" t="s">
        <v>2041</v>
      </c>
      <c r="CQ102" s="419" t="s">
        <v>2418</v>
      </c>
      <c r="CR102" s="419" t="s">
        <v>2712</v>
      </c>
      <c r="CS102" s="419" t="s">
        <v>3682</v>
      </c>
      <c r="CT102" s="419" t="s">
        <v>1698</v>
      </c>
      <c r="CU102" s="405" t="s">
        <v>24</v>
      </c>
      <c r="CV102" s="197" t="s">
        <v>2029</v>
      </c>
      <c r="CW102" s="2" t="s">
        <v>1545</v>
      </c>
      <c r="CX102" s="2" t="s">
        <v>182</v>
      </c>
      <c r="CY102" s="2" t="s">
        <v>3613</v>
      </c>
      <c r="CZ102" s="3" t="s">
        <v>1546</v>
      </c>
      <c r="DA102" s="405" t="s">
        <v>14</v>
      </c>
      <c r="DB102" s="197" t="s">
        <v>3526</v>
      </c>
      <c r="DC102" s="1" t="s">
        <v>750</v>
      </c>
      <c r="DD102" s="1" t="s">
        <v>749</v>
      </c>
      <c r="DE102" s="1" t="s">
        <v>2192</v>
      </c>
      <c r="DF102" s="3" t="s">
        <v>751</v>
      </c>
      <c r="DG102" s="405" t="s">
        <v>389</v>
      </c>
      <c r="DH102" s="197" t="s">
        <v>9</v>
      </c>
      <c r="DI102" s="2" t="s">
        <v>2461</v>
      </c>
      <c r="DJ102" s="2" t="s">
        <v>3553</v>
      </c>
      <c r="DK102" s="2" t="s">
        <v>1335</v>
      </c>
      <c r="DL102" s="3" t="s">
        <v>1336</v>
      </c>
      <c r="DM102" s="405" t="s">
        <v>390</v>
      </c>
      <c r="DN102" s="197" t="s">
        <v>1310</v>
      </c>
      <c r="DO102" s="419" t="s">
        <v>1726</v>
      </c>
      <c r="DP102" s="419" t="s">
        <v>1727</v>
      </c>
      <c r="DQ102" s="419" t="s">
        <v>1728</v>
      </c>
      <c r="DR102" s="479" t="s">
        <v>1729</v>
      </c>
    </row>
    <row r="103" spans="1:122" ht="12.9" customHeight="1" x14ac:dyDescent="0.2">
      <c r="A103" s="7" t="s">
        <v>2278</v>
      </c>
      <c r="B103" s="7">
        <v>10</v>
      </c>
      <c r="C103" s="197" t="s">
        <v>3686</v>
      </c>
      <c r="D103" s="197" t="s">
        <v>3526</v>
      </c>
      <c r="E103" s="1" t="s">
        <v>3527</v>
      </c>
      <c r="F103" s="1" t="s">
        <v>3528</v>
      </c>
      <c r="G103" s="1" t="s">
        <v>219</v>
      </c>
      <c r="H103" s="3" t="s">
        <v>220</v>
      </c>
      <c r="I103" s="405" t="s">
        <v>391</v>
      </c>
      <c r="J103" s="197" t="s">
        <v>4041</v>
      </c>
      <c r="K103" s="418" t="s">
        <v>2633</v>
      </c>
      <c r="L103" s="418" t="s">
        <v>4057</v>
      </c>
      <c r="M103" s="418" t="s">
        <v>4044</v>
      </c>
      <c r="N103" s="418" t="s">
        <v>2634</v>
      </c>
      <c r="O103" s="405" t="s">
        <v>392</v>
      </c>
      <c r="P103" s="197" t="s">
        <v>393</v>
      </c>
      <c r="Q103" s="419" t="s">
        <v>1747</v>
      </c>
      <c r="R103" s="419" t="s">
        <v>731</v>
      </c>
      <c r="S103" s="419" t="s">
        <v>4042</v>
      </c>
      <c r="T103" s="479" t="s">
        <v>1505</v>
      </c>
      <c r="U103" s="197" t="s">
        <v>23</v>
      </c>
      <c r="V103" s="197" t="s">
        <v>4075</v>
      </c>
      <c r="W103" s="2" t="s">
        <v>416</v>
      </c>
      <c r="X103" s="2" t="s">
        <v>3262</v>
      </c>
      <c r="Y103" s="2" t="s">
        <v>808</v>
      </c>
      <c r="Z103" s="3" t="s">
        <v>3263</v>
      </c>
      <c r="AA103" s="405"/>
      <c r="AB103" s="197"/>
      <c r="AG103" s="405"/>
      <c r="AH103" s="197"/>
      <c r="AI103" s="1"/>
      <c r="AJ103" s="1"/>
      <c r="AK103" s="1"/>
      <c r="AL103" s="3"/>
      <c r="AM103" s="197"/>
      <c r="AN103" s="197"/>
      <c r="AO103" s="2"/>
      <c r="AP103" s="2"/>
      <c r="AQ103" s="2"/>
      <c r="AR103" s="3"/>
      <c r="AS103" s="405"/>
      <c r="AT103" s="197"/>
      <c r="AY103" s="405"/>
      <c r="AZ103" s="197"/>
      <c r="BA103" s="1"/>
      <c r="BB103" s="1"/>
      <c r="BC103" s="1"/>
      <c r="BD103" s="3"/>
      <c r="BE103" s="197"/>
      <c r="BF103" s="197"/>
      <c r="BG103" s="2"/>
      <c r="BH103" s="2"/>
      <c r="BI103" s="2"/>
      <c r="BJ103" s="3"/>
      <c r="BK103" s="405"/>
      <c r="BL103" s="197"/>
      <c r="BQ103" s="405"/>
      <c r="BR103" s="197"/>
      <c r="BS103" s="1"/>
      <c r="BT103" s="1"/>
      <c r="BU103" s="1"/>
      <c r="BV103" s="3"/>
      <c r="BW103" s="405"/>
      <c r="BX103" s="197"/>
      <c r="BY103" s="1"/>
      <c r="BZ103" s="1"/>
      <c r="CA103" s="1"/>
      <c r="CB103" s="3"/>
      <c r="CC103" s="197"/>
      <c r="CD103" s="197"/>
      <c r="CE103" s="2"/>
      <c r="CF103" s="2"/>
      <c r="CG103" s="2"/>
      <c r="CH103" s="3"/>
      <c r="CI103" s="405"/>
      <c r="CJ103" s="197"/>
      <c r="CN103" s="3"/>
      <c r="CO103" s="405"/>
      <c r="CP103" s="197"/>
      <c r="CQ103" s="1"/>
      <c r="CR103" s="1"/>
      <c r="CS103" s="1"/>
      <c r="CT103" s="3"/>
      <c r="CU103" s="405"/>
      <c r="CV103" s="197"/>
      <c r="CW103" s="1"/>
      <c r="CX103" s="1"/>
      <c r="CY103" s="1"/>
      <c r="CZ103" s="3"/>
      <c r="DA103" s="405"/>
      <c r="DB103" s="197"/>
      <c r="DC103" s="1"/>
      <c r="DD103" s="1"/>
      <c r="DE103" s="1"/>
      <c r="DF103" s="3"/>
      <c r="DG103" s="405"/>
      <c r="DH103" s="197"/>
      <c r="DI103" s="1"/>
      <c r="DJ103" s="1"/>
      <c r="DK103" s="1"/>
      <c r="DL103" s="3"/>
      <c r="DM103" s="405"/>
      <c r="DN103" s="197"/>
      <c r="DO103" s="1"/>
      <c r="DP103" s="1"/>
      <c r="DQ103" s="1"/>
      <c r="DR103" s="3"/>
    </row>
    <row r="104" spans="1:122" ht="12.9" customHeight="1" x14ac:dyDescent="0.2">
      <c r="A104" s="7" t="s">
        <v>2791</v>
      </c>
      <c r="B104" s="7">
        <v>13</v>
      </c>
      <c r="C104" s="197" t="s">
        <v>1527</v>
      </c>
      <c r="D104" s="197" t="s">
        <v>1446</v>
      </c>
      <c r="E104" s="2" t="s">
        <v>1529</v>
      </c>
      <c r="F104" s="2" t="s">
        <v>2456</v>
      </c>
      <c r="G104" s="2" t="s">
        <v>3543</v>
      </c>
      <c r="H104" s="3" t="s">
        <v>2457</v>
      </c>
      <c r="I104" s="197" t="s">
        <v>4040</v>
      </c>
      <c r="J104" s="197" t="s">
        <v>4041</v>
      </c>
      <c r="K104" s="1" t="s">
        <v>4043</v>
      </c>
      <c r="L104" s="1" t="s">
        <v>790</v>
      </c>
      <c r="M104" s="1" t="s">
        <v>791</v>
      </c>
      <c r="N104" s="1" t="s">
        <v>739</v>
      </c>
      <c r="O104" s="197" t="s">
        <v>3529</v>
      </c>
      <c r="P104" s="245" t="s">
        <v>2041</v>
      </c>
      <c r="Q104" s="2" t="s">
        <v>3535</v>
      </c>
      <c r="R104" s="2" t="s">
        <v>3536</v>
      </c>
      <c r="S104" s="2" t="s">
        <v>3194</v>
      </c>
      <c r="T104" s="3" t="s">
        <v>3538</v>
      </c>
      <c r="U104" s="197" t="s">
        <v>398</v>
      </c>
      <c r="V104" s="197" t="s">
        <v>2041</v>
      </c>
      <c r="W104" s="1" t="s">
        <v>2418</v>
      </c>
      <c r="X104" s="1" t="s">
        <v>3012</v>
      </c>
      <c r="Y104" s="1" t="s">
        <v>208</v>
      </c>
      <c r="Z104" s="1" t="s">
        <v>3013</v>
      </c>
      <c r="AA104" s="197" t="s">
        <v>399</v>
      </c>
      <c r="AB104" s="197" t="s">
        <v>3460</v>
      </c>
      <c r="AC104" s="2" t="s">
        <v>735</v>
      </c>
      <c r="AD104" s="2" t="s">
        <v>2159</v>
      </c>
      <c r="AE104" s="2" t="s">
        <v>2154</v>
      </c>
      <c r="AF104" s="2" t="s">
        <v>2155</v>
      </c>
      <c r="AG104" s="405" t="s">
        <v>389</v>
      </c>
      <c r="AH104" s="197" t="s">
        <v>9</v>
      </c>
      <c r="AI104" s="2" t="s">
        <v>2461</v>
      </c>
      <c r="AJ104" s="2" t="s">
        <v>3553</v>
      </c>
      <c r="AK104" s="2" t="s">
        <v>1335</v>
      </c>
      <c r="AL104" s="3" t="s">
        <v>1336</v>
      </c>
      <c r="AM104" s="197" t="s">
        <v>3432</v>
      </c>
      <c r="AN104" s="197" t="s">
        <v>2041</v>
      </c>
      <c r="AO104" s="419" t="s">
        <v>1698</v>
      </c>
      <c r="AP104" s="419" t="s">
        <v>710</v>
      </c>
      <c r="AQ104" s="419" t="s">
        <v>207</v>
      </c>
      <c r="AR104" s="419" t="s">
        <v>1714</v>
      </c>
      <c r="AS104" s="197"/>
      <c r="AT104" s="197"/>
      <c r="AU104" s="2"/>
      <c r="AV104" s="2"/>
      <c r="AW104" s="2"/>
      <c r="AX104" s="3"/>
      <c r="AY104" s="197"/>
      <c r="AZ104" s="197"/>
      <c r="BA104" s="1"/>
      <c r="BB104" s="1"/>
      <c r="BC104" s="1"/>
      <c r="BD104" s="3"/>
      <c r="BE104" s="197"/>
      <c r="BF104" s="197"/>
      <c r="BK104" s="197"/>
      <c r="BL104" s="197"/>
      <c r="BM104" s="2"/>
      <c r="BN104" s="2"/>
      <c r="BO104" s="2"/>
      <c r="BP104" s="3"/>
      <c r="BQ104" s="197"/>
      <c r="BR104" s="197"/>
      <c r="BS104" s="1"/>
      <c r="BT104" s="1"/>
      <c r="BU104" s="1"/>
      <c r="BV104" s="3"/>
      <c r="BW104" s="197"/>
      <c r="BX104" s="197"/>
      <c r="BY104" s="1"/>
      <c r="BZ104" s="1"/>
      <c r="CA104" s="1"/>
      <c r="CB104" s="3"/>
      <c r="CC104" s="197"/>
      <c r="CD104" s="197"/>
      <c r="CI104" s="197"/>
      <c r="CJ104" s="197"/>
      <c r="CK104" s="2"/>
      <c r="CL104" s="2"/>
      <c r="CM104" s="2"/>
      <c r="CN104" s="3"/>
      <c r="CO104" s="197"/>
      <c r="CP104" s="197"/>
      <c r="CQ104" s="1"/>
      <c r="CR104" s="1"/>
      <c r="CS104" s="1"/>
      <c r="CT104" s="3"/>
      <c r="CU104" s="197"/>
      <c r="CV104" s="197"/>
      <c r="CW104" s="1"/>
      <c r="CX104" s="1"/>
      <c r="CY104" s="1"/>
      <c r="CZ104" s="3"/>
      <c r="DA104" s="197"/>
      <c r="DB104" s="197"/>
      <c r="DC104" s="1"/>
      <c r="DD104" s="1"/>
      <c r="DE104" s="1"/>
      <c r="DF104" s="3"/>
      <c r="DG104" s="197"/>
      <c r="DH104" s="197"/>
      <c r="DI104" s="1"/>
      <c r="DJ104" s="1"/>
      <c r="DK104" s="1"/>
      <c r="DL104" s="3"/>
      <c r="DM104" s="197"/>
      <c r="DN104" s="197"/>
      <c r="DO104" s="1"/>
      <c r="DP104" s="1"/>
      <c r="DQ104" s="1"/>
      <c r="DR104" s="3"/>
    </row>
    <row r="105" spans="1:122" ht="12.9" customHeight="1" x14ac:dyDescent="0.2">
      <c r="A105" s="7" t="s">
        <v>2249</v>
      </c>
      <c r="B105" s="7">
        <v>10</v>
      </c>
      <c r="C105" s="197" t="s">
        <v>3434</v>
      </c>
      <c r="D105" s="197" t="s">
        <v>4249</v>
      </c>
      <c r="E105" s="419" t="s">
        <v>3542</v>
      </c>
      <c r="F105" s="419" t="s">
        <v>796</v>
      </c>
      <c r="G105" s="419" t="s">
        <v>1704</v>
      </c>
      <c r="H105" s="419" t="s">
        <v>3543</v>
      </c>
      <c r="I105" s="405" t="s">
        <v>14</v>
      </c>
      <c r="J105" s="197" t="s">
        <v>3526</v>
      </c>
      <c r="K105" s="1" t="s">
        <v>3094</v>
      </c>
      <c r="L105" s="1" t="s">
        <v>749</v>
      </c>
      <c r="M105" s="1" t="s">
        <v>750</v>
      </c>
      <c r="N105" s="3" t="s">
        <v>751</v>
      </c>
      <c r="O105" s="405" t="s">
        <v>3435</v>
      </c>
      <c r="P105" s="197" t="s">
        <v>130</v>
      </c>
      <c r="Q105" s="1" t="s">
        <v>754</v>
      </c>
      <c r="R105" s="1" t="s">
        <v>4260</v>
      </c>
      <c r="S105" s="419" t="s">
        <v>1347</v>
      </c>
      <c r="T105" s="479" t="s">
        <v>234</v>
      </c>
      <c r="U105" s="197" t="s">
        <v>3436</v>
      </c>
      <c r="V105" s="197" t="s">
        <v>3357</v>
      </c>
      <c r="W105" s="419" t="s">
        <v>1303</v>
      </c>
      <c r="X105" s="419" t="s">
        <v>2493</v>
      </c>
      <c r="Y105" s="419" t="s">
        <v>2508</v>
      </c>
      <c r="Z105" s="419" t="s">
        <v>737</v>
      </c>
      <c r="AA105" s="197"/>
      <c r="AB105" s="197"/>
      <c r="AF105" s="3"/>
      <c r="AG105" s="405"/>
      <c r="AH105" s="197"/>
      <c r="AI105" s="1"/>
      <c r="AJ105" s="1"/>
      <c r="AK105" s="1"/>
      <c r="AL105" s="3"/>
      <c r="AM105" s="197"/>
      <c r="AN105" s="197"/>
      <c r="AS105" s="197"/>
      <c r="AT105" s="197"/>
      <c r="AX105" s="3"/>
      <c r="AY105" s="405"/>
      <c r="AZ105" s="197"/>
      <c r="BA105" s="1"/>
      <c r="BB105" s="1"/>
      <c r="BC105" s="1"/>
      <c r="BD105" s="3"/>
      <c r="BE105" s="197"/>
      <c r="BF105" s="197"/>
      <c r="BK105" s="197"/>
      <c r="BL105" s="197"/>
      <c r="BP105" s="3"/>
      <c r="BQ105" s="405"/>
      <c r="BR105" s="197"/>
      <c r="BS105" s="1"/>
      <c r="BT105" s="1"/>
      <c r="BU105" s="1"/>
      <c r="BV105" s="3"/>
      <c r="BW105" s="405"/>
      <c r="BX105" s="197"/>
      <c r="BY105" s="1"/>
      <c r="BZ105" s="1"/>
      <c r="CA105" s="1"/>
      <c r="CB105" s="3"/>
      <c r="CC105" s="197"/>
      <c r="CD105" s="197"/>
      <c r="CI105" s="197"/>
      <c r="CJ105" s="197"/>
      <c r="CN105" s="3"/>
      <c r="CO105" s="405"/>
      <c r="CP105" s="197"/>
      <c r="CQ105" s="1"/>
      <c r="CR105" s="1"/>
      <c r="CS105" s="1"/>
      <c r="CT105" s="3"/>
      <c r="CU105" s="405"/>
      <c r="CV105" s="197"/>
      <c r="CW105" s="1"/>
      <c r="CX105" s="1"/>
      <c r="CY105" s="1"/>
      <c r="CZ105" s="3"/>
      <c r="DA105" s="405"/>
      <c r="DB105" s="197"/>
      <c r="DC105" s="1"/>
      <c r="DD105" s="1"/>
      <c r="DE105" s="1"/>
      <c r="DF105" s="3"/>
      <c r="DG105" s="405"/>
      <c r="DH105" s="197"/>
      <c r="DI105" s="1"/>
      <c r="DJ105" s="1"/>
      <c r="DK105" s="1"/>
      <c r="DL105" s="3"/>
      <c r="DM105" s="405"/>
      <c r="DN105" s="197"/>
      <c r="DO105" s="1"/>
      <c r="DP105" s="1"/>
      <c r="DQ105" s="1"/>
      <c r="DR105" s="3"/>
    </row>
    <row r="106" spans="1:122" ht="12.9" customHeight="1" x14ac:dyDescent="0.2">
      <c r="A106" s="7" t="s">
        <v>660</v>
      </c>
      <c r="B106" s="7">
        <v>15</v>
      </c>
      <c r="C106" s="197" t="s">
        <v>2467</v>
      </c>
      <c r="D106" s="245" t="s">
        <v>2468</v>
      </c>
      <c r="E106" s="2" t="s">
        <v>2469</v>
      </c>
      <c r="F106" s="2" t="s">
        <v>3565</v>
      </c>
      <c r="G106" s="2" t="s">
        <v>3236</v>
      </c>
      <c r="H106" s="2" t="s">
        <v>2472</v>
      </c>
      <c r="I106" s="405" t="s">
        <v>2464</v>
      </c>
      <c r="J106" s="245" t="s">
        <v>4249</v>
      </c>
      <c r="K106" s="1" t="s">
        <v>1518</v>
      </c>
      <c r="L106" s="1" t="s">
        <v>796</v>
      </c>
      <c r="M106" s="1" t="s">
        <v>1519</v>
      </c>
      <c r="N106" s="1" t="s">
        <v>1520</v>
      </c>
      <c r="O106" s="197" t="s">
        <v>3445</v>
      </c>
      <c r="P106" s="197" t="s">
        <v>550</v>
      </c>
      <c r="Q106" s="1" t="s">
        <v>1329</v>
      </c>
      <c r="R106" s="1" t="s">
        <v>3011</v>
      </c>
      <c r="S106" s="1" t="s">
        <v>808</v>
      </c>
      <c r="T106" s="3" t="s">
        <v>3393</v>
      </c>
      <c r="U106" s="197" t="s">
        <v>3432</v>
      </c>
      <c r="V106" s="197" t="s">
        <v>2041</v>
      </c>
      <c r="W106" s="419" t="s">
        <v>1698</v>
      </c>
      <c r="X106" s="419" t="s">
        <v>710</v>
      </c>
      <c r="Y106" s="419" t="s">
        <v>207</v>
      </c>
      <c r="Z106" s="419" t="s">
        <v>1714</v>
      </c>
      <c r="AA106" s="405" t="s">
        <v>14</v>
      </c>
      <c r="AB106" s="197" t="s">
        <v>3526</v>
      </c>
      <c r="AC106" s="1" t="s">
        <v>3094</v>
      </c>
      <c r="AD106" s="1" t="s">
        <v>749</v>
      </c>
      <c r="AE106" s="1" t="s">
        <v>750</v>
      </c>
      <c r="AF106" s="3" t="s">
        <v>751</v>
      </c>
      <c r="AG106" s="197" t="s">
        <v>3446</v>
      </c>
      <c r="AH106" s="197" t="s">
        <v>4249</v>
      </c>
      <c r="AI106" s="1" t="s">
        <v>1364</v>
      </c>
      <c r="AJ106" s="1" t="s">
        <v>1365</v>
      </c>
      <c r="AK106" s="1" t="s">
        <v>1366</v>
      </c>
      <c r="AL106" s="3" t="s">
        <v>1367</v>
      </c>
      <c r="AM106" s="197" t="s">
        <v>3447</v>
      </c>
      <c r="AN106" s="197" t="s">
        <v>421</v>
      </c>
      <c r="AO106" s="419" t="s">
        <v>1685</v>
      </c>
      <c r="AP106" s="419" t="s">
        <v>224</v>
      </c>
      <c r="AQ106" s="419" t="s">
        <v>1686</v>
      </c>
      <c r="AR106" s="419" t="s">
        <v>1687</v>
      </c>
      <c r="AS106" s="405" t="s">
        <v>3448</v>
      </c>
      <c r="AT106" s="197" t="s">
        <v>130</v>
      </c>
      <c r="AU106" s="1" t="s">
        <v>4182</v>
      </c>
      <c r="AV106" s="1" t="s">
        <v>832</v>
      </c>
      <c r="AW106" s="1" t="s">
        <v>133</v>
      </c>
      <c r="AX106" s="3" t="s">
        <v>1347</v>
      </c>
      <c r="AY106" s="197" t="s">
        <v>3449</v>
      </c>
      <c r="AZ106" s="197" t="s">
        <v>3526</v>
      </c>
      <c r="BA106" s="1" t="s">
        <v>1259</v>
      </c>
      <c r="BB106" s="1" t="s">
        <v>1343</v>
      </c>
      <c r="BC106" s="1" t="s">
        <v>1344</v>
      </c>
      <c r="BD106" s="3" t="s">
        <v>220</v>
      </c>
      <c r="BE106" s="197"/>
      <c r="BF106" s="197"/>
      <c r="BK106" s="405"/>
      <c r="BL106" s="197"/>
      <c r="BP106" s="3"/>
      <c r="BQ106" s="197"/>
      <c r="BR106" s="197"/>
      <c r="BS106" s="1"/>
      <c r="BT106" s="1"/>
      <c r="BU106" s="1"/>
      <c r="BV106" s="3"/>
      <c r="BW106" s="197"/>
      <c r="BX106" s="197"/>
      <c r="BY106" s="1"/>
      <c r="BZ106" s="1"/>
      <c r="CA106" s="1"/>
      <c r="CB106" s="3"/>
      <c r="CC106" s="197"/>
      <c r="CD106" s="197"/>
      <c r="CI106" s="405"/>
      <c r="CJ106" s="197"/>
      <c r="CN106" s="3"/>
      <c r="CO106" s="197"/>
      <c r="CP106" s="197"/>
      <c r="CQ106" s="1"/>
      <c r="CR106" s="1"/>
      <c r="CS106" s="1"/>
      <c r="CT106" s="3"/>
      <c r="CU106" s="197"/>
      <c r="CV106" s="197"/>
      <c r="CW106" s="1"/>
      <c r="CX106" s="1"/>
      <c r="CY106" s="1"/>
      <c r="CZ106" s="3"/>
      <c r="DA106" s="197"/>
      <c r="DB106" s="197"/>
      <c r="DC106" s="1"/>
      <c r="DD106" s="1"/>
      <c r="DE106" s="1"/>
      <c r="DF106" s="3"/>
      <c r="DG106" s="197"/>
      <c r="DH106" s="197"/>
      <c r="DI106" s="1"/>
      <c r="DJ106" s="1"/>
      <c r="DK106" s="1"/>
      <c r="DL106" s="3"/>
      <c r="DM106" s="197"/>
      <c r="DN106" s="197"/>
      <c r="DO106" s="1"/>
      <c r="DP106" s="1"/>
      <c r="DQ106" s="1"/>
      <c r="DR106" s="3"/>
    </row>
    <row r="107" spans="1:122" ht="12.9" customHeight="1" x14ac:dyDescent="0.2">
      <c r="A107" s="7" t="s">
        <v>2799</v>
      </c>
      <c r="B107" s="7">
        <v>15</v>
      </c>
      <c r="C107" s="197" t="s">
        <v>2467</v>
      </c>
      <c r="D107" s="245" t="s">
        <v>2468</v>
      </c>
      <c r="E107" s="2" t="s">
        <v>2469</v>
      </c>
      <c r="F107" s="2" t="s">
        <v>3565</v>
      </c>
      <c r="G107" s="2" t="s">
        <v>3236</v>
      </c>
      <c r="H107" s="2" t="s">
        <v>2472</v>
      </c>
      <c r="I107" s="405" t="s">
        <v>3529</v>
      </c>
      <c r="J107" s="245" t="s">
        <v>2041</v>
      </c>
      <c r="K107" s="2" t="s">
        <v>3535</v>
      </c>
      <c r="L107" s="2" t="s">
        <v>3536</v>
      </c>
      <c r="M107" s="2" t="s">
        <v>3537</v>
      </c>
      <c r="N107" s="3" t="s">
        <v>3538</v>
      </c>
      <c r="O107" s="197" t="s">
        <v>3459</v>
      </c>
      <c r="P107" s="197" t="s">
        <v>9</v>
      </c>
      <c r="Q107" s="419" t="s">
        <v>762</v>
      </c>
      <c r="R107" s="419" t="s">
        <v>3553</v>
      </c>
      <c r="S107" s="419" t="s">
        <v>270</v>
      </c>
      <c r="T107" s="479" t="s">
        <v>3555</v>
      </c>
      <c r="U107" s="197" t="s">
        <v>399</v>
      </c>
      <c r="V107" s="197" t="s">
        <v>3460</v>
      </c>
      <c r="W107" s="2" t="s">
        <v>735</v>
      </c>
      <c r="X107" s="2" t="s">
        <v>2159</v>
      </c>
      <c r="Y107" s="2" t="s">
        <v>2154</v>
      </c>
      <c r="Z107" s="2" t="s">
        <v>2155</v>
      </c>
      <c r="AA107" s="405" t="s">
        <v>14</v>
      </c>
      <c r="AB107" s="197" t="s">
        <v>3526</v>
      </c>
      <c r="AC107" s="1" t="s">
        <v>3094</v>
      </c>
      <c r="AD107" s="1" t="s">
        <v>749</v>
      </c>
      <c r="AE107" s="1" t="s">
        <v>750</v>
      </c>
      <c r="AF107" s="3" t="s">
        <v>751</v>
      </c>
      <c r="AG107" s="197" t="s">
        <v>3461</v>
      </c>
      <c r="AH107" s="527" t="s">
        <v>2082</v>
      </c>
      <c r="AI107" s="419" t="s">
        <v>1688</v>
      </c>
      <c r="AJ107" s="419" t="s">
        <v>1689</v>
      </c>
      <c r="AK107" s="419" t="s">
        <v>1690</v>
      </c>
      <c r="AL107" s="479" t="s">
        <v>1691</v>
      </c>
      <c r="AM107" s="197" t="s">
        <v>3462</v>
      </c>
      <c r="AN107" s="197" t="s">
        <v>421</v>
      </c>
      <c r="AO107" s="419" t="s">
        <v>1675</v>
      </c>
      <c r="AP107" s="419" t="s">
        <v>1676</v>
      </c>
      <c r="AQ107" s="419" t="s">
        <v>3289</v>
      </c>
      <c r="AR107" s="419" t="s">
        <v>1677</v>
      </c>
      <c r="AS107" s="405" t="s">
        <v>3463</v>
      </c>
      <c r="AT107" s="197" t="s">
        <v>3464</v>
      </c>
      <c r="AU107" s="419" t="s">
        <v>242</v>
      </c>
      <c r="AV107" s="419" t="s">
        <v>2521</v>
      </c>
      <c r="AW107" s="419" t="s">
        <v>243</v>
      </c>
      <c r="AX107" s="419" t="s">
        <v>244</v>
      </c>
      <c r="AY107" s="197" t="s">
        <v>3465</v>
      </c>
      <c r="AZ107" s="197" t="s">
        <v>4041</v>
      </c>
      <c r="BA107" s="1" t="s">
        <v>3008</v>
      </c>
      <c r="BB107" s="1" t="s">
        <v>1673</v>
      </c>
      <c r="BC107" s="1" t="s">
        <v>1674</v>
      </c>
      <c r="BD107" s="3" t="s">
        <v>1498</v>
      </c>
      <c r="BE107" s="197"/>
      <c r="BF107" s="197"/>
      <c r="BK107" s="405"/>
      <c r="BL107" s="197"/>
      <c r="BP107" s="3"/>
      <c r="BQ107" s="197"/>
      <c r="BR107" s="197"/>
      <c r="BS107" s="1"/>
      <c r="BT107" s="1"/>
      <c r="BU107" s="1"/>
      <c r="BV107" s="3"/>
      <c r="BW107" s="197"/>
      <c r="BX107" s="197"/>
      <c r="BY107" s="1"/>
      <c r="BZ107" s="1"/>
      <c r="CA107" s="1"/>
      <c r="CB107" s="3"/>
      <c r="CC107" s="197"/>
      <c r="CD107" s="197"/>
      <c r="CI107" s="405"/>
      <c r="CJ107" s="197"/>
      <c r="CN107" s="3"/>
      <c r="CO107" s="197"/>
      <c r="CP107" s="197"/>
      <c r="CQ107" s="1"/>
      <c r="CR107" s="1"/>
      <c r="CS107" s="1"/>
      <c r="CT107" s="3"/>
      <c r="CU107" s="197"/>
      <c r="CV107" s="197"/>
      <c r="CW107" s="1"/>
      <c r="CX107" s="1"/>
      <c r="CY107" s="1"/>
      <c r="CZ107" s="3"/>
      <c r="DA107" s="197"/>
      <c r="DB107" s="197"/>
      <c r="DC107" s="1"/>
      <c r="DD107" s="1"/>
      <c r="DE107" s="1"/>
      <c r="DF107" s="3"/>
      <c r="DG107" s="197"/>
      <c r="DH107" s="197"/>
      <c r="DI107" s="1"/>
      <c r="DJ107" s="1"/>
      <c r="DK107" s="1"/>
      <c r="DL107" s="3"/>
      <c r="DM107" s="197"/>
      <c r="DN107" s="197"/>
      <c r="DO107" s="1"/>
      <c r="DP107" s="1"/>
      <c r="DQ107" s="1"/>
      <c r="DR107" s="3"/>
    </row>
    <row r="108" spans="1:122" ht="12.9" customHeight="1" x14ac:dyDescent="0.2">
      <c r="A108" s="7" t="s">
        <v>2807</v>
      </c>
      <c r="B108" s="7">
        <v>16</v>
      </c>
      <c r="C108" s="197" t="s">
        <v>2460</v>
      </c>
      <c r="D108" s="197" t="s">
        <v>4230</v>
      </c>
      <c r="E108" s="1" t="s">
        <v>2461</v>
      </c>
      <c r="F108" s="1" t="s">
        <v>4157</v>
      </c>
      <c r="G108" s="1" t="s">
        <v>2462</v>
      </c>
      <c r="H108" s="3" t="s">
        <v>446</v>
      </c>
      <c r="I108" s="197" t="s">
        <v>1527</v>
      </c>
      <c r="J108" s="197" t="s">
        <v>1446</v>
      </c>
      <c r="K108" s="2" t="s">
        <v>1529</v>
      </c>
      <c r="L108" s="2" t="s">
        <v>2456</v>
      </c>
      <c r="M108" s="2" t="s">
        <v>3543</v>
      </c>
      <c r="N108" s="3" t="s">
        <v>2457</v>
      </c>
      <c r="O108" s="197" t="s">
        <v>1867</v>
      </c>
      <c r="P108" s="197" t="s">
        <v>1868</v>
      </c>
      <c r="Q108" s="1" t="s">
        <v>1349</v>
      </c>
      <c r="R108" s="1" t="s">
        <v>4260</v>
      </c>
      <c r="S108" s="1" t="s">
        <v>1350</v>
      </c>
      <c r="T108" s="3" t="s">
        <v>687</v>
      </c>
      <c r="U108" s="197" t="s">
        <v>3547</v>
      </c>
      <c r="V108" s="504" t="s">
        <v>421</v>
      </c>
      <c r="W108" s="1" t="s">
        <v>3548</v>
      </c>
      <c r="X108" s="1" t="s">
        <v>3549</v>
      </c>
      <c r="Y108" s="1" t="s">
        <v>3289</v>
      </c>
      <c r="Z108" s="3" t="s">
        <v>766</v>
      </c>
      <c r="AA108" s="197" t="s">
        <v>1544</v>
      </c>
      <c r="AB108" s="504" t="s">
        <v>3357</v>
      </c>
      <c r="AC108" s="419" t="s">
        <v>2496</v>
      </c>
      <c r="AD108" s="419" t="s">
        <v>2494</v>
      </c>
      <c r="AE108" s="419" t="s">
        <v>2495</v>
      </c>
      <c r="AF108" s="419" t="s">
        <v>1303</v>
      </c>
      <c r="AG108" s="197" t="s">
        <v>399</v>
      </c>
      <c r="AH108" s="197" t="s">
        <v>3460</v>
      </c>
      <c r="AI108" s="2" t="s">
        <v>735</v>
      </c>
      <c r="AJ108" s="2" t="s">
        <v>2159</v>
      </c>
      <c r="AK108" s="2" t="s">
        <v>2154</v>
      </c>
      <c r="AL108" s="3" t="s">
        <v>2155</v>
      </c>
      <c r="AM108" s="197" t="s">
        <v>253</v>
      </c>
      <c r="AN108" s="504" t="s">
        <v>4079</v>
      </c>
      <c r="AO108" s="1" t="s">
        <v>254</v>
      </c>
      <c r="AP108" s="1" t="s">
        <v>166</v>
      </c>
      <c r="AQ108" s="1" t="s">
        <v>529</v>
      </c>
      <c r="AR108" s="3" t="s">
        <v>168</v>
      </c>
      <c r="AS108" s="197" t="s">
        <v>1869</v>
      </c>
      <c r="AT108" s="504" t="s">
        <v>421</v>
      </c>
      <c r="AU108" s="419" t="s">
        <v>1737</v>
      </c>
      <c r="AV108" s="419" t="s">
        <v>1738</v>
      </c>
      <c r="AW108" s="419" t="s">
        <v>1739</v>
      </c>
      <c r="AX108" s="419" t="s">
        <v>1740</v>
      </c>
      <c r="AY108" s="197" t="s">
        <v>3449</v>
      </c>
      <c r="AZ108" s="197" t="s">
        <v>3526</v>
      </c>
      <c r="BA108" s="1" t="s">
        <v>1259</v>
      </c>
      <c r="BB108" s="1" t="s">
        <v>1343</v>
      </c>
      <c r="BC108" s="1" t="s">
        <v>1344</v>
      </c>
      <c r="BD108" s="3" t="s">
        <v>220</v>
      </c>
      <c r="BE108" s="197" t="s">
        <v>1870</v>
      </c>
      <c r="BF108" s="504" t="s">
        <v>4075</v>
      </c>
      <c r="BG108" s="419" t="s">
        <v>239</v>
      </c>
      <c r="BH108" s="419" t="s">
        <v>240</v>
      </c>
      <c r="BI108" s="419" t="s">
        <v>2165</v>
      </c>
      <c r="BJ108" s="419" t="s">
        <v>3552</v>
      </c>
      <c r="BK108" s="197"/>
      <c r="BL108" s="504"/>
      <c r="BQ108" s="197"/>
      <c r="BR108" s="197"/>
      <c r="BS108" s="1"/>
      <c r="BT108" s="1"/>
      <c r="BU108" s="1"/>
      <c r="BV108" s="3"/>
      <c r="BW108" s="197"/>
      <c r="BX108" s="197"/>
      <c r="BY108" s="1"/>
      <c r="BZ108" s="1"/>
      <c r="CA108" s="1"/>
      <c r="CB108" s="3"/>
      <c r="CC108" s="197"/>
      <c r="CD108" s="504"/>
      <c r="CI108" s="197"/>
      <c r="CJ108" s="504"/>
      <c r="CN108" s="3"/>
      <c r="CO108" s="197"/>
      <c r="CP108" s="197"/>
      <c r="CQ108" s="1"/>
      <c r="CR108" s="1"/>
      <c r="CS108" s="1"/>
      <c r="CT108" s="3"/>
      <c r="CU108" s="197"/>
      <c r="CV108" s="197"/>
      <c r="CW108" s="1"/>
      <c r="CX108" s="1"/>
      <c r="CY108" s="1"/>
      <c r="CZ108" s="3"/>
      <c r="DA108" s="197"/>
      <c r="DB108" s="197"/>
      <c r="DC108" s="1"/>
      <c r="DD108" s="1"/>
      <c r="DE108" s="1"/>
      <c r="DF108" s="3"/>
      <c r="DG108" s="197"/>
      <c r="DH108" s="197"/>
      <c r="DI108" s="1"/>
      <c r="DJ108" s="1"/>
      <c r="DK108" s="1"/>
      <c r="DL108" s="3"/>
      <c r="DM108" s="197"/>
      <c r="DN108" s="197"/>
      <c r="DO108" s="1"/>
      <c r="DP108" s="1"/>
      <c r="DQ108" s="1"/>
      <c r="DR108" s="3"/>
    </row>
    <row r="109" spans="1:122" ht="12.9" customHeight="1" x14ac:dyDescent="0.2">
      <c r="A109" s="7" t="s">
        <v>2811</v>
      </c>
      <c r="B109" s="7">
        <v>16</v>
      </c>
      <c r="C109" s="197" t="s">
        <v>4100</v>
      </c>
      <c r="D109" s="197" t="s">
        <v>130</v>
      </c>
      <c r="E109" s="1" t="s">
        <v>131</v>
      </c>
      <c r="F109" s="1" t="s">
        <v>132</v>
      </c>
      <c r="G109" s="1" t="s">
        <v>133</v>
      </c>
      <c r="H109" s="3" t="s">
        <v>252</v>
      </c>
      <c r="I109" s="197" t="s">
        <v>1527</v>
      </c>
      <c r="J109" s="197" t="s">
        <v>1446</v>
      </c>
      <c r="K109" s="2" t="s">
        <v>1529</v>
      </c>
      <c r="L109" s="2" t="s">
        <v>2456</v>
      </c>
      <c r="M109" s="2" t="s">
        <v>3543</v>
      </c>
      <c r="N109" s="3" t="s">
        <v>2457</v>
      </c>
      <c r="O109" s="197" t="s">
        <v>1889</v>
      </c>
      <c r="P109" s="504" t="s">
        <v>9</v>
      </c>
      <c r="Q109" s="419" t="s">
        <v>449</v>
      </c>
      <c r="R109" s="419" t="s">
        <v>3385</v>
      </c>
      <c r="S109" s="419" t="s">
        <v>1731</v>
      </c>
      <c r="T109" s="479" t="s">
        <v>559</v>
      </c>
      <c r="U109" s="197" t="s">
        <v>253</v>
      </c>
      <c r="V109" s="504" t="s">
        <v>4079</v>
      </c>
      <c r="W109" s="1" t="s">
        <v>769</v>
      </c>
      <c r="X109" s="1" t="s">
        <v>166</v>
      </c>
      <c r="Y109" s="1" t="s">
        <v>168</v>
      </c>
      <c r="Z109" s="3" t="s">
        <v>255</v>
      </c>
      <c r="AA109" s="197" t="s">
        <v>399</v>
      </c>
      <c r="AB109" s="197" t="s">
        <v>2163</v>
      </c>
      <c r="AC109" s="2" t="s">
        <v>735</v>
      </c>
      <c r="AD109" s="2" t="s">
        <v>2159</v>
      </c>
      <c r="AE109" s="2" t="s">
        <v>2154</v>
      </c>
      <c r="AF109" s="2" t="s">
        <v>2155</v>
      </c>
      <c r="AG109" s="197" t="s">
        <v>1891</v>
      </c>
      <c r="AH109" s="197" t="s">
        <v>579</v>
      </c>
      <c r="AI109" s="1" t="s">
        <v>299</v>
      </c>
      <c r="AJ109" s="1" t="s">
        <v>3219</v>
      </c>
      <c r="AK109" s="1" t="s">
        <v>3980</v>
      </c>
      <c r="AL109" s="3" t="s">
        <v>2156</v>
      </c>
      <c r="AM109" s="197" t="s">
        <v>1892</v>
      </c>
      <c r="AN109" s="197" t="s">
        <v>4180</v>
      </c>
      <c r="AO109" s="419" t="s">
        <v>422</v>
      </c>
      <c r="AP109" s="419" t="s">
        <v>3284</v>
      </c>
      <c r="AQ109" s="419" t="s">
        <v>1627</v>
      </c>
      <c r="AR109" s="419" t="s">
        <v>1694</v>
      </c>
      <c r="AS109" s="197" t="s">
        <v>1893</v>
      </c>
      <c r="AT109" s="197" t="s">
        <v>4041</v>
      </c>
      <c r="AU109" s="2" t="s">
        <v>3009</v>
      </c>
      <c r="AV109" s="2" t="s">
        <v>3008</v>
      </c>
      <c r="AW109" s="2" t="s">
        <v>2369</v>
      </c>
      <c r="AX109" s="3" t="s">
        <v>3010</v>
      </c>
      <c r="AY109" s="197" t="s">
        <v>1894</v>
      </c>
      <c r="AZ109" s="504" t="s">
        <v>550</v>
      </c>
      <c r="BA109" s="1" t="s">
        <v>500</v>
      </c>
      <c r="BB109" s="1" t="s">
        <v>3391</v>
      </c>
      <c r="BC109" s="1" t="s">
        <v>2165</v>
      </c>
      <c r="BD109" s="3" t="s">
        <v>829</v>
      </c>
      <c r="BE109" s="197" t="s">
        <v>1895</v>
      </c>
      <c r="BF109" s="197" t="s">
        <v>3357</v>
      </c>
      <c r="BG109" s="419" t="s">
        <v>1542</v>
      </c>
      <c r="BH109" s="419" t="s">
        <v>1543</v>
      </c>
      <c r="BI109" s="419" t="s">
        <v>2508</v>
      </c>
      <c r="BJ109" s="419" t="s">
        <v>737</v>
      </c>
      <c r="BK109" s="197"/>
      <c r="BL109" s="197"/>
      <c r="BP109" s="3"/>
      <c r="BQ109" s="197"/>
      <c r="BR109" s="504"/>
      <c r="BS109" s="1"/>
      <c r="BT109" s="1"/>
      <c r="BU109" s="1"/>
      <c r="BV109" s="3"/>
      <c r="BW109" s="197"/>
      <c r="BX109" s="504"/>
      <c r="BY109" s="1"/>
      <c r="BZ109" s="1"/>
      <c r="CA109" s="1"/>
      <c r="CB109" s="3"/>
      <c r="CC109" s="199"/>
      <c r="CD109" s="197"/>
      <c r="CE109" s="2"/>
      <c r="CF109" s="2"/>
      <c r="CG109" s="2"/>
      <c r="CH109" s="3"/>
      <c r="CI109" s="197"/>
      <c r="CJ109" s="197"/>
      <c r="CN109" s="3"/>
      <c r="CO109" s="197"/>
      <c r="CP109" s="504"/>
      <c r="CQ109" s="1"/>
      <c r="CR109" s="1"/>
      <c r="CS109" s="1"/>
      <c r="CT109" s="3"/>
      <c r="CU109" s="197"/>
      <c r="CV109" s="504"/>
      <c r="CW109" s="1"/>
      <c r="CX109" s="1"/>
      <c r="CY109" s="1"/>
      <c r="CZ109" s="3"/>
      <c r="DA109" s="197"/>
      <c r="DB109" s="504"/>
      <c r="DC109" s="1"/>
      <c r="DD109" s="1"/>
      <c r="DE109" s="1"/>
      <c r="DF109" s="3"/>
      <c r="DG109" s="197"/>
      <c r="DH109" s="504"/>
      <c r="DI109" s="1"/>
      <c r="DJ109" s="1"/>
      <c r="DK109" s="1"/>
      <c r="DL109" s="3"/>
      <c r="DM109" s="197"/>
      <c r="DN109" s="504"/>
      <c r="DO109" s="1"/>
      <c r="DP109" s="1"/>
      <c r="DQ109" s="1"/>
      <c r="DR109" s="3"/>
    </row>
    <row r="110" spans="1:122" ht="12.9" customHeight="1" x14ac:dyDescent="0.2">
      <c r="A110" s="7" t="s">
        <v>2814</v>
      </c>
      <c r="B110" s="7">
        <v>16</v>
      </c>
      <c r="C110" s="197" t="s">
        <v>399</v>
      </c>
      <c r="D110" s="197" t="s">
        <v>2163</v>
      </c>
      <c r="E110" s="2" t="s">
        <v>735</v>
      </c>
      <c r="F110" s="2" t="s">
        <v>2159</v>
      </c>
      <c r="G110" s="2" t="s">
        <v>2154</v>
      </c>
      <c r="H110" s="2" t="s">
        <v>2155</v>
      </c>
      <c r="I110" s="197" t="s">
        <v>3547</v>
      </c>
      <c r="J110" s="504" t="s">
        <v>421</v>
      </c>
      <c r="K110" s="1" t="s">
        <v>3548</v>
      </c>
      <c r="L110" s="1" t="s">
        <v>3549</v>
      </c>
      <c r="M110" s="1" t="s">
        <v>3289</v>
      </c>
      <c r="N110" s="3" t="s">
        <v>766</v>
      </c>
      <c r="O110" s="197" t="s">
        <v>1893</v>
      </c>
      <c r="P110" s="197" t="s">
        <v>4041</v>
      </c>
      <c r="Q110" s="2" t="s">
        <v>3007</v>
      </c>
      <c r="R110" s="2" t="s">
        <v>3008</v>
      </c>
      <c r="S110" s="2" t="s">
        <v>2369</v>
      </c>
      <c r="T110" s="3" t="s">
        <v>804</v>
      </c>
      <c r="U110" s="197" t="s">
        <v>1897</v>
      </c>
      <c r="V110" s="504" t="s">
        <v>1973</v>
      </c>
      <c r="W110" s="419" t="s">
        <v>3939</v>
      </c>
      <c r="X110" s="419" t="s">
        <v>1759</v>
      </c>
      <c r="Y110" s="419" t="s">
        <v>1760</v>
      </c>
      <c r="Z110" s="419" t="s">
        <v>1761</v>
      </c>
      <c r="AA110" s="197" t="s">
        <v>1894</v>
      </c>
      <c r="AB110" s="197" t="s">
        <v>550</v>
      </c>
      <c r="AC110" s="1" t="s">
        <v>500</v>
      </c>
      <c r="AD110" s="1" t="s">
        <v>3391</v>
      </c>
      <c r="AE110" s="1" t="s">
        <v>2165</v>
      </c>
      <c r="AF110" s="3" t="s">
        <v>829</v>
      </c>
      <c r="AG110" s="197" t="s">
        <v>1898</v>
      </c>
      <c r="AH110" s="197" t="s">
        <v>4230</v>
      </c>
      <c r="AI110" s="419" t="s">
        <v>1710</v>
      </c>
      <c r="AJ110" s="419" t="s">
        <v>1547</v>
      </c>
      <c r="AK110" s="419" t="s">
        <v>2462</v>
      </c>
      <c r="AL110" s="479" t="s">
        <v>1711</v>
      </c>
      <c r="AM110" s="197" t="s">
        <v>1899</v>
      </c>
      <c r="AN110" s="504" t="s">
        <v>1973</v>
      </c>
      <c r="AO110" s="1" t="s">
        <v>1382</v>
      </c>
      <c r="AP110" s="1" t="s">
        <v>1381</v>
      </c>
      <c r="AQ110" s="1" t="s">
        <v>1383</v>
      </c>
      <c r="AR110" s="1" t="s">
        <v>1384</v>
      </c>
      <c r="AS110" s="197" t="s">
        <v>1900</v>
      </c>
      <c r="AT110" s="197" t="s">
        <v>2082</v>
      </c>
      <c r="AU110" s="2" t="s">
        <v>4182</v>
      </c>
      <c r="AV110" s="2" t="s">
        <v>4258</v>
      </c>
      <c r="AW110" s="2" t="s">
        <v>3476</v>
      </c>
      <c r="AX110" s="2" t="s">
        <v>2655</v>
      </c>
      <c r="AY110" s="197" t="s">
        <v>1901</v>
      </c>
      <c r="AZ110" s="197" t="s">
        <v>3464</v>
      </c>
      <c r="BA110" s="419" t="s">
        <v>245</v>
      </c>
      <c r="BB110" s="419" t="s">
        <v>2521</v>
      </c>
      <c r="BC110" s="419" t="s">
        <v>246</v>
      </c>
      <c r="BD110" s="479" t="s">
        <v>244</v>
      </c>
      <c r="BE110" s="197" t="s">
        <v>1902</v>
      </c>
      <c r="BF110" s="504" t="s">
        <v>4079</v>
      </c>
      <c r="BG110" s="1" t="s">
        <v>258</v>
      </c>
      <c r="BH110" s="1" t="s">
        <v>840</v>
      </c>
      <c r="BI110" s="1" t="s">
        <v>841</v>
      </c>
      <c r="BJ110" s="1" t="s">
        <v>261</v>
      </c>
      <c r="BK110" s="197"/>
      <c r="BL110" s="197"/>
      <c r="BM110" s="2"/>
      <c r="BP110" s="3"/>
      <c r="BQ110" s="197"/>
      <c r="BR110" s="197"/>
      <c r="BS110" s="2"/>
      <c r="BT110" s="2"/>
      <c r="BU110" s="2"/>
      <c r="BV110" s="3"/>
      <c r="BW110" s="197"/>
      <c r="BX110" s="197"/>
      <c r="BY110" s="2"/>
      <c r="BZ110" s="2"/>
      <c r="CA110" s="2"/>
      <c r="CB110" s="3"/>
      <c r="CC110" s="197"/>
      <c r="CD110" s="504"/>
      <c r="CI110" s="197"/>
      <c r="CJ110" s="197"/>
      <c r="CK110" s="2"/>
      <c r="CN110" s="3"/>
      <c r="CO110" s="197"/>
      <c r="CP110" s="197"/>
      <c r="CQ110" s="2"/>
      <c r="CR110" s="2"/>
      <c r="CS110" s="2"/>
      <c r="CT110" s="3"/>
      <c r="CU110" s="197"/>
      <c r="CV110" s="197"/>
      <c r="CW110" s="2"/>
      <c r="CX110" s="2"/>
      <c r="CY110" s="2"/>
      <c r="CZ110" s="3"/>
      <c r="DA110" s="197"/>
      <c r="DB110" s="197"/>
      <c r="DC110" s="2"/>
      <c r="DD110" s="2"/>
      <c r="DE110" s="2"/>
      <c r="DF110" s="3"/>
      <c r="DG110" s="197"/>
      <c r="DH110" s="197"/>
      <c r="DI110" s="2"/>
      <c r="DJ110" s="2"/>
      <c r="DK110" s="2"/>
      <c r="DL110" s="3"/>
      <c r="DM110" s="197"/>
      <c r="DN110" s="197"/>
      <c r="DO110" s="2"/>
      <c r="DP110" s="2"/>
      <c r="DQ110" s="2"/>
      <c r="DR110" s="3"/>
    </row>
    <row r="111" spans="1:122" ht="12.9" customHeight="1" x14ac:dyDescent="0.2">
      <c r="A111" s="7" t="s">
        <v>2815</v>
      </c>
      <c r="B111" s="7">
        <v>24</v>
      </c>
      <c r="C111" s="197" t="s">
        <v>3547</v>
      </c>
      <c r="D111" s="504" t="s">
        <v>421</v>
      </c>
      <c r="E111" s="1" t="s">
        <v>3548</v>
      </c>
      <c r="F111" s="1" t="s">
        <v>3549</v>
      </c>
      <c r="G111" s="1" t="s">
        <v>3289</v>
      </c>
      <c r="H111" s="3" t="s">
        <v>766</v>
      </c>
      <c r="I111" s="197" t="s">
        <v>1527</v>
      </c>
      <c r="J111" s="197" t="s">
        <v>1446</v>
      </c>
      <c r="K111" s="2" t="s">
        <v>1529</v>
      </c>
      <c r="L111" s="2" t="s">
        <v>2456</v>
      </c>
      <c r="M111" s="2" t="s">
        <v>3543</v>
      </c>
      <c r="N111" s="3" t="s">
        <v>2457</v>
      </c>
      <c r="O111" s="197" t="s">
        <v>2467</v>
      </c>
      <c r="P111" s="197" t="s">
        <v>2162</v>
      </c>
      <c r="Q111" s="2" t="s">
        <v>2469</v>
      </c>
      <c r="R111" s="2" t="s">
        <v>231</v>
      </c>
      <c r="S111" s="2" t="s">
        <v>3236</v>
      </c>
      <c r="T111" s="3" t="s">
        <v>2472</v>
      </c>
      <c r="U111" s="197" t="s">
        <v>2558</v>
      </c>
      <c r="V111" s="197" t="s">
        <v>761</v>
      </c>
      <c r="W111" s="2" t="s">
        <v>762</v>
      </c>
      <c r="X111" s="2" t="s">
        <v>3553</v>
      </c>
      <c r="Y111" s="2" t="s">
        <v>270</v>
      </c>
      <c r="Z111" s="1" t="s">
        <v>3555</v>
      </c>
      <c r="AA111" s="197" t="s">
        <v>399</v>
      </c>
      <c r="AB111" s="197" t="s">
        <v>2163</v>
      </c>
      <c r="AC111" s="2" t="s">
        <v>735</v>
      </c>
      <c r="AD111" s="2" t="s">
        <v>2159</v>
      </c>
      <c r="AE111" s="2" t="s">
        <v>2154</v>
      </c>
      <c r="AF111" s="2" t="s">
        <v>2155</v>
      </c>
      <c r="AG111" s="197" t="s">
        <v>200</v>
      </c>
      <c r="AH111" s="197" t="s">
        <v>2164</v>
      </c>
      <c r="AI111" s="1" t="s">
        <v>2167</v>
      </c>
      <c r="AJ111" s="1" t="s">
        <v>3601</v>
      </c>
      <c r="AK111" s="1" t="s">
        <v>2165</v>
      </c>
      <c r="AL111" s="3" t="s">
        <v>2166</v>
      </c>
      <c r="AM111" s="197" t="s">
        <v>3286</v>
      </c>
      <c r="AN111" s="197" t="s">
        <v>3287</v>
      </c>
      <c r="AO111" s="1" t="s">
        <v>3284</v>
      </c>
      <c r="AP111" s="1" t="s">
        <v>3288</v>
      </c>
      <c r="AQ111" s="1" t="s">
        <v>3827</v>
      </c>
      <c r="AR111" s="1" t="s">
        <v>3707</v>
      </c>
      <c r="AS111" s="197" t="s">
        <v>257</v>
      </c>
      <c r="AT111" s="197" t="s">
        <v>4079</v>
      </c>
      <c r="AU111" s="2" t="s">
        <v>258</v>
      </c>
      <c r="AV111" s="2" t="s">
        <v>259</v>
      </c>
      <c r="AW111" s="2" t="s">
        <v>260</v>
      </c>
      <c r="AX111" s="3" t="s">
        <v>261</v>
      </c>
      <c r="AY111" s="197" t="s">
        <v>201</v>
      </c>
      <c r="AZ111" s="197" t="s">
        <v>2178</v>
      </c>
      <c r="BA111" s="2" t="s">
        <v>1374</v>
      </c>
      <c r="BB111" s="1" t="s">
        <v>2180</v>
      </c>
      <c r="BC111" s="1" t="s">
        <v>1376</v>
      </c>
      <c r="BD111" s="3" t="s">
        <v>1377</v>
      </c>
      <c r="BE111" s="197" t="s">
        <v>202</v>
      </c>
      <c r="BF111" s="197" t="s">
        <v>4041</v>
      </c>
      <c r="BG111" s="1" t="s">
        <v>1671</v>
      </c>
      <c r="BH111" s="1" t="s">
        <v>2136</v>
      </c>
      <c r="BI111" s="1" t="s">
        <v>791</v>
      </c>
      <c r="BJ111" s="1" t="s">
        <v>1672</v>
      </c>
      <c r="BK111" s="197" t="s">
        <v>203</v>
      </c>
      <c r="BL111" s="197" t="s">
        <v>1860</v>
      </c>
      <c r="BM111" s="1" t="s">
        <v>1862</v>
      </c>
      <c r="BN111" s="2" t="s">
        <v>3258</v>
      </c>
      <c r="BO111" s="2" t="s">
        <v>1863</v>
      </c>
      <c r="BP111" s="3" t="s">
        <v>496</v>
      </c>
      <c r="BQ111" s="197" t="s">
        <v>1898</v>
      </c>
      <c r="BR111" s="197" t="s">
        <v>4230</v>
      </c>
      <c r="BS111" s="419" t="s">
        <v>1710</v>
      </c>
      <c r="BT111" s="419" t="s">
        <v>1547</v>
      </c>
      <c r="BU111" s="419" t="s">
        <v>2462</v>
      </c>
      <c r="BV111" s="419" t="s">
        <v>1711</v>
      </c>
      <c r="BW111" s="197" t="s">
        <v>204</v>
      </c>
      <c r="BX111" s="197" t="s">
        <v>148</v>
      </c>
      <c r="BY111" s="419" t="s">
        <v>3283</v>
      </c>
      <c r="BZ111" s="419" t="s">
        <v>3284</v>
      </c>
      <c r="CA111" s="419" t="s">
        <v>2399</v>
      </c>
      <c r="CB111" s="419" t="s">
        <v>1694</v>
      </c>
      <c r="CC111" s="197" t="s">
        <v>2106</v>
      </c>
      <c r="CD111" s="197" t="s">
        <v>730</v>
      </c>
      <c r="CE111" s="1" t="s">
        <v>2332</v>
      </c>
      <c r="CF111" s="1" t="s">
        <v>3838</v>
      </c>
      <c r="CG111" s="1" t="s">
        <v>1351</v>
      </c>
      <c r="CH111" s="1" t="s">
        <v>1342</v>
      </c>
      <c r="CI111" s="197" t="s">
        <v>205</v>
      </c>
      <c r="CJ111" s="197" t="s">
        <v>2468</v>
      </c>
      <c r="CK111" s="419" t="s">
        <v>1705</v>
      </c>
      <c r="CL111" s="419" t="s">
        <v>3393</v>
      </c>
      <c r="CM111" s="419" t="s">
        <v>1706</v>
      </c>
      <c r="CN111" s="479" t="s">
        <v>181</v>
      </c>
      <c r="CO111" s="197" t="s">
        <v>1899</v>
      </c>
      <c r="CP111" s="504" t="s">
        <v>1973</v>
      </c>
      <c r="CQ111" s="1" t="s">
        <v>1382</v>
      </c>
      <c r="CR111" s="1" t="s">
        <v>1381</v>
      </c>
      <c r="CS111" s="1" t="s">
        <v>1383</v>
      </c>
      <c r="CT111" s="1" t="s">
        <v>1384</v>
      </c>
      <c r="CU111" s="197" t="s">
        <v>1900</v>
      </c>
      <c r="CV111" s="197" t="s">
        <v>2082</v>
      </c>
      <c r="CW111" s="2" t="s">
        <v>4182</v>
      </c>
      <c r="CX111" s="1" t="s">
        <v>4258</v>
      </c>
      <c r="CY111" s="1" t="s">
        <v>3476</v>
      </c>
      <c r="CZ111" s="3" t="s">
        <v>2655</v>
      </c>
      <c r="DA111" s="197" t="s">
        <v>210</v>
      </c>
      <c r="DB111" s="197" t="s">
        <v>211</v>
      </c>
      <c r="DC111" s="7" t="s">
        <v>3028</v>
      </c>
      <c r="DD111" s="2" t="s">
        <v>212</v>
      </c>
      <c r="DE111" s="2" t="s">
        <v>213</v>
      </c>
      <c r="DF111" s="3" t="s">
        <v>214</v>
      </c>
      <c r="DG111" s="197"/>
      <c r="DH111" s="197"/>
      <c r="DI111" s="2"/>
      <c r="DJ111" s="1"/>
      <c r="DK111" s="1"/>
      <c r="DL111" s="3"/>
      <c r="DM111" s="197"/>
      <c r="DN111" s="197"/>
      <c r="DO111" s="2"/>
      <c r="DP111" s="1"/>
      <c r="DQ111" s="1"/>
      <c r="DR111" s="3"/>
    </row>
    <row r="112" spans="1:122" ht="12.9" customHeight="1" x14ac:dyDescent="0.2">
      <c r="A112" s="7" t="s">
        <v>2819</v>
      </c>
      <c r="B112" s="7">
        <v>16</v>
      </c>
      <c r="C112" s="197" t="s">
        <v>257</v>
      </c>
      <c r="D112" s="197" t="s">
        <v>4079</v>
      </c>
      <c r="E112" s="1" t="s">
        <v>258</v>
      </c>
      <c r="F112" s="1" t="s">
        <v>4081</v>
      </c>
      <c r="G112" s="1" t="s">
        <v>260</v>
      </c>
      <c r="H112" s="1" t="s">
        <v>261</v>
      </c>
      <c r="I112" s="197" t="s">
        <v>3547</v>
      </c>
      <c r="J112" s="504" t="s">
        <v>421</v>
      </c>
      <c r="K112" s="1" t="s">
        <v>3548</v>
      </c>
      <c r="L112" s="1" t="s">
        <v>3549</v>
      </c>
      <c r="M112" s="1" t="s">
        <v>3289</v>
      </c>
      <c r="N112" s="3" t="s">
        <v>766</v>
      </c>
      <c r="O112" s="197" t="s">
        <v>200</v>
      </c>
      <c r="P112" s="197" t="s">
        <v>2164</v>
      </c>
      <c r="Q112" s="1" t="s">
        <v>2167</v>
      </c>
      <c r="R112" s="1" t="s">
        <v>3601</v>
      </c>
      <c r="S112" s="1" t="s">
        <v>2165</v>
      </c>
      <c r="T112" s="3" t="s">
        <v>2166</v>
      </c>
      <c r="U112" s="197" t="s">
        <v>1527</v>
      </c>
      <c r="V112" s="197" t="s">
        <v>2041</v>
      </c>
      <c r="W112" s="1" t="s">
        <v>2417</v>
      </c>
      <c r="X112" s="1" t="s">
        <v>2418</v>
      </c>
      <c r="Y112" s="1" t="s">
        <v>3543</v>
      </c>
      <c r="Z112" s="3" t="s">
        <v>2457</v>
      </c>
      <c r="AA112" s="197" t="s">
        <v>2092</v>
      </c>
      <c r="AB112" s="197" t="s">
        <v>2172</v>
      </c>
      <c r="AC112" s="1" t="s">
        <v>527</v>
      </c>
      <c r="AD112" s="1" t="s">
        <v>184</v>
      </c>
      <c r="AE112" s="1" t="s">
        <v>3876</v>
      </c>
      <c r="AF112" s="3" t="s">
        <v>265</v>
      </c>
      <c r="AG112" s="197" t="s">
        <v>2093</v>
      </c>
      <c r="AH112" s="197" t="s">
        <v>1624</v>
      </c>
      <c r="AI112" s="2" t="s">
        <v>439</v>
      </c>
      <c r="AJ112" s="2" t="s">
        <v>1626</v>
      </c>
      <c r="AK112" s="2" t="s">
        <v>1627</v>
      </c>
      <c r="AL112" s="3" t="s">
        <v>1628</v>
      </c>
      <c r="AM112" s="197" t="s">
        <v>2094</v>
      </c>
      <c r="AN112" s="197" t="s">
        <v>1459</v>
      </c>
      <c r="AO112" s="1" t="s">
        <v>1460</v>
      </c>
      <c r="AP112" s="1" t="s">
        <v>1461</v>
      </c>
      <c r="AQ112" s="1" t="s">
        <v>2154</v>
      </c>
      <c r="AR112" s="3" t="s">
        <v>1303</v>
      </c>
      <c r="AS112" s="197" t="s">
        <v>203</v>
      </c>
      <c r="AT112" s="197" t="s">
        <v>1860</v>
      </c>
      <c r="AU112" s="1" t="s">
        <v>1862</v>
      </c>
      <c r="AV112" s="2" t="s">
        <v>3258</v>
      </c>
      <c r="AW112" s="2" t="s">
        <v>1863</v>
      </c>
      <c r="AX112" s="3" t="s">
        <v>496</v>
      </c>
      <c r="AY112" s="197" t="s">
        <v>1900</v>
      </c>
      <c r="AZ112" s="197" t="s">
        <v>2082</v>
      </c>
      <c r="BA112" s="2" t="s">
        <v>4182</v>
      </c>
      <c r="BB112" s="1" t="s">
        <v>4258</v>
      </c>
      <c r="BC112" s="1" t="s">
        <v>3476</v>
      </c>
      <c r="BD112" s="3" t="s">
        <v>2655</v>
      </c>
      <c r="BE112" s="197" t="s">
        <v>210</v>
      </c>
      <c r="BF112" s="197" t="s">
        <v>211</v>
      </c>
      <c r="BG112" s="7" t="s">
        <v>3028</v>
      </c>
      <c r="BH112" s="2" t="s">
        <v>212</v>
      </c>
      <c r="BI112" s="2" t="s">
        <v>213</v>
      </c>
      <c r="BJ112" s="3" t="s">
        <v>214</v>
      </c>
      <c r="BK112" s="197"/>
      <c r="BL112" s="197"/>
      <c r="BQ112" s="197"/>
      <c r="BR112" s="197"/>
      <c r="BS112" s="1"/>
      <c r="BT112" s="1"/>
      <c r="BU112" s="1"/>
      <c r="BV112" s="3"/>
      <c r="BW112" s="197"/>
      <c r="BX112" s="197"/>
      <c r="BY112" s="1"/>
      <c r="BZ112" s="1"/>
      <c r="CA112" s="1"/>
      <c r="CB112" s="3"/>
      <c r="CC112" s="197"/>
      <c r="CD112" s="197"/>
      <c r="CI112" s="197"/>
      <c r="CJ112" s="197"/>
      <c r="CN112" s="3"/>
      <c r="CO112" s="197"/>
      <c r="CP112" s="197"/>
      <c r="CQ112" s="1"/>
      <c r="CR112" s="1"/>
      <c r="CS112" s="1"/>
      <c r="CT112" s="3"/>
      <c r="CU112" s="197"/>
      <c r="CV112" s="197"/>
      <c r="CW112" s="1"/>
      <c r="CX112" s="1"/>
      <c r="CY112" s="1"/>
      <c r="CZ112" s="3"/>
      <c r="DA112" s="197"/>
      <c r="DB112" s="197"/>
      <c r="DC112" s="1"/>
      <c r="DD112" s="1"/>
      <c r="DE112" s="1"/>
      <c r="DF112" s="3"/>
      <c r="DG112" s="197"/>
      <c r="DH112" s="197"/>
      <c r="DI112" s="1"/>
      <c r="DJ112" s="1"/>
      <c r="DK112" s="1"/>
      <c r="DL112" s="3"/>
      <c r="DM112" s="197"/>
      <c r="DN112" s="197"/>
      <c r="DO112" s="1"/>
      <c r="DP112" s="1"/>
      <c r="DQ112" s="1"/>
      <c r="DR112" s="3"/>
    </row>
    <row r="113" spans="1:122" ht="12.9" customHeight="1" x14ac:dyDescent="0.2">
      <c r="A113" s="7" t="s">
        <v>2825</v>
      </c>
      <c r="B113" s="7">
        <v>15</v>
      </c>
      <c r="C113" s="197" t="s">
        <v>3547</v>
      </c>
      <c r="D113" s="504" t="s">
        <v>421</v>
      </c>
      <c r="E113" s="1" t="s">
        <v>3548</v>
      </c>
      <c r="F113" s="1" t="s">
        <v>3549</v>
      </c>
      <c r="G113" s="1" t="s">
        <v>3289</v>
      </c>
      <c r="H113" s="3" t="s">
        <v>766</v>
      </c>
      <c r="I113" s="405" t="s">
        <v>1527</v>
      </c>
      <c r="J113" s="197" t="s">
        <v>1446</v>
      </c>
      <c r="K113" s="2" t="s">
        <v>1529</v>
      </c>
      <c r="L113" s="2" t="s">
        <v>2456</v>
      </c>
      <c r="M113" s="2" t="s">
        <v>3543</v>
      </c>
      <c r="N113" s="3" t="s">
        <v>2457</v>
      </c>
      <c r="O113" s="197" t="s">
        <v>2098</v>
      </c>
      <c r="P113" s="197" t="s">
        <v>2184</v>
      </c>
      <c r="Q113" s="7" t="s">
        <v>2179</v>
      </c>
      <c r="R113" s="2" t="s">
        <v>2180</v>
      </c>
      <c r="S113" s="2" t="s">
        <v>367</v>
      </c>
      <c r="T113" s="3" t="s">
        <v>2182</v>
      </c>
      <c r="U113" s="197" t="s">
        <v>2099</v>
      </c>
      <c r="V113" s="197" t="s">
        <v>148</v>
      </c>
      <c r="W113" s="1" t="s">
        <v>2084</v>
      </c>
      <c r="X113" s="1" t="s">
        <v>4053</v>
      </c>
      <c r="Y113" s="1" t="s">
        <v>3284</v>
      </c>
      <c r="Z113" s="1" t="s">
        <v>4054</v>
      </c>
      <c r="AA113" s="405" t="s">
        <v>288</v>
      </c>
      <c r="AB113" s="197" t="s">
        <v>4041</v>
      </c>
      <c r="AC113" s="2" t="s">
        <v>289</v>
      </c>
      <c r="AD113" s="2" t="s">
        <v>290</v>
      </c>
      <c r="AE113" s="2" t="s">
        <v>4058</v>
      </c>
      <c r="AF113" s="2" t="s">
        <v>291</v>
      </c>
      <c r="AG113" s="197" t="s">
        <v>2100</v>
      </c>
      <c r="AH113" s="197" t="s">
        <v>550</v>
      </c>
      <c r="AI113" s="419" t="s">
        <v>2398</v>
      </c>
      <c r="AJ113" s="419" t="s">
        <v>3819</v>
      </c>
      <c r="AK113" s="419" t="s">
        <v>429</v>
      </c>
      <c r="AL113" s="479" t="s">
        <v>3263</v>
      </c>
      <c r="AM113" s="197" t="s">
        <v>2101</v>
      </c>
      <c r="AN113" s="197" t="s">
        <v>550</v>
      </c>
      <c r="AO113" s="1" t="s">
        <v>1371</v>
      </c>
      <c r="AP113" s="1" t="s">
        <v>1372</v>
      </c>
      <c r="AQ113" s="1" t="s">
        <v>1373</v>
      </c>
      <c r="AR113" s="1" t="s">
        <v>503</v>
      </c>
      <c r="AS113" s="405" t="s">
        <v>2092</v>
      </c>
      <c r="AT113" s="197" t="s">
        <v>2172</v>
      </c>
      <c r="AU113" s="1" t="s">
        <v>528</v>
      </c>
      <c r="AV113" s="1" t="s">
        <v>184</v>
      </c>
      <c r="AW113" s="1" t="s">
        <v>3876</v>
      </c>
      <c r="AX113" s="3" t="s">
        <v>265</v>
      </c>
      <c r="AY113" s="197" t="s">
        <v>2102</v>
      </c>
      <c r="AZ113" s="197" t="s">
        <v>3526</v>
      </c>
      <c r="BA113" s="2" t="s">
        <v>1259</v>
      </c>
      <c r="BB113" s="1" t="s">
        <v>1379</v>
      </c>
      <c r="BC113" s="1" t="s">
        <v>561</v>
      </c>
      <c r="BD113" s="3" t="s">
        <v>1380</v>
      </c>
      <c r="BE113" s="197"/>
      <c r="BF113" s="197"/>
      <c r="BK113" s="405"/>
      <c r="BL113" s="197"/>
      <c r="BM113" s="2"/>
      <c r="BN113" s="2"/>
      <c r="BO113" s="2"/>
      <c r="BP113" s="2"/>
      <c r="BQ113" s="197"/>
      <c r="BR113" s="197"/>
      <c r="BS113" s="2"/>
      <c r="BT113" s="1"/>
      <c r="BU113" s="1"/>
      <c r="BV113" s="3"/>
      <c r="BW113" s="197"/>
      <c r="BX113" s="197"/>
      <c r="BY113" s="2"/>
      <c r="BZ113" s="1"/>
      <c r="CA113" s="1"/>
      <c r="CB113" s="3"/>
      <c r="CC113" s="197"/>
      <c r="CD113" s="197"/>
      <c r="CI113" s="405"/>
      <c r="CJ113" s="197"/>
      <c r="CK113" s="2"/>
      <c r="CL113" s="2"/>
      <c r="CM113" s="2"/>
      <c r="CN113" s="3"/>
      <c r="CO113" s="197"/>
      <c r="CP113" s="197"/>
      <c r="CQ113" s="2"/>
      <c r="CR113" s="1"/>
      <c r="CS113" s="1"/>
      <c r="CT113" s="3"/>
      <c r="CU113" s="197"/>
      <c r="CV113" s="197"/>
      <c r="CW113" s="2"/>
      <c r="CX113" s="1"/>
      <c r="CY113" s="1"/>
      <c r="CZ113" s="3"/>
      <c r="DA113" s="197"/>
      <c r="DB113" s="197"/>
      <c r="DC113" s="2"/>
      <c r="DD113" s="1"/>
      <c r="DE113" s="1"/>
      <c r="DF113" s="3"/>
      <c r="DG113" s="197"/>
      <c r="DH113" s="197"/>
      <c r="DI113" s="2"/>
      <c r="DJ113" s="1"/>
      <c r="DK113" s="1"/>
      <c r="DL113" s="3"/>
      <c r="DM113" s="197"/>
      <c r="DN113" s="197"/>
      <c r="DO113" s="2"/>
      <c r="DP113" s="1"/>
      <c r="DQ113" s="1"/>
      <c r="DR113" s="3"/>
    </row>
    <row r="114" spans="1:122" ht="12.9" customHeight="1" x14ac:dyDescent="0.2">
      <c r="A114" s="7" t="s">
        <v>3516</v>
      </c>
      <c r="B114" s="7">
        <v>12</v>
      </c>
      <c r="C114" s="197" t="s">
        <v>2098</v>
      </c>
      <c r="D114" s="197" t="s">
        <v>2184</v>
      </c>
      <c r="E114" s="7" t="s">
        <v>2179</v>
      </c>
      <c r="F114" s="2" t="s">
        <v>2180</v>
      </c>
      <c r="G114" s="2" t="s">
        <v>2185</v>
      </c>
      <c r="H114" s="3" t="s">
        <v>2182</v>
      </c>
      <c r="I114" s="197" t="s">
        <v>2094</v>
      </c>
      <c r="J114" s="197" t="s">
        <v>1459</v>
      </c>
      <c r="K114" s="1" t="s">
        <v>1460</v>
      </c>
      <c r="L114" s="1" t="s">
        <v>1461</v>
      </c>
      <c r="M114" s="1" t="s">
        <v>2154</v>
      </c>
      <c r="N114" s="3" t="s">
        <v>1303</v>
      </c>
      <c r="O114" s="197" t="s">
        <v>2103</v>
      </c>
      <c r="P114" s="197" t="s">
        <v>2083</v>
      </c>
      <c r="Q114" s="419" t="s">
        <v>1349</v>
      </c>
      <c r="R114" s="419" t="s">
        <v>650</v>
      </c>
      <c r="S114" s="419" t="s">
        <v>1350</v>
      </c>
      <c r="T114" s="479" t="s">
        <v>2490</v>
      </c>
      <c r="U114" s="197" t="s">
        <v>2101</v>
      </c>
      <c r="V114" s="197" t="s">
        <v>550</v>
      </c>
      <c r="W114" s="1" t="s">
        <v>1371</v>
      </c>
      <c r="X114" s="1" t="s">
        <v>1372</v>
      </c>
      <c r="Y114" s="1" t="s">
        <v>1373</v>
      </c>
      <c r="Z114" s="1" t="s">
        <v>503</v>
      </c>
      <c r="AA114" s="197" t="s">
        <v>413</v>
      </c>
      <c r="AB114" s="197" t="s">
        <v>1636</v>
      </c>
      <c r="AC114" s="419" t="s">
        <v>3768</v>
      </c>
      <c r="AD114" s="419" t="s">
        <v>3876</v>
      </c>
      <c r="AE114" s="419" t="s">
        <v>241</v>
      </c>
      <c r="AF114" s="419" t="s">
        <v>2400</v>
      </c>
      <c r="AG114" s="504" t="s">
        <v>2104</v>
      </c>
      <c r="AH114" s="197" t="s">
        <v>130</v>
      </c>
      <c r="AI114" s="419" t="s">
        <v>2401</v>
      </c>
      <c r="AJ114" s="419" t="s">
        <v>2</v>
      </c>
      <c r="AK114" s="419" t="s">
        <v>2402</v>
      </c>
      <c r="AL114" s="479" t="s">
        <v>2637</v>
      </c>
      <c r="AM114" s="197"/>
      <c r="AN114" s="197"/>
      <c r="AO114" s="2"/>
      <c r="AP114" s="2"/>
      <c r="AQ114" s="2"/>
      <c r="AR114" s="2"/>
      <c r="AS114" s="197"/>
      <c r="AT114" s="197"/>
      <c r="AU114" s="2"/>
      <c r="AV114" s="2"/>
      <c r="AW114" s="2"/>
      <c r="AX114" s="2"/>
      <c r="AY114" s="197"/>
      <c r="AZ114" s="197"/>
      <c r="BA114" s="1"/>
      <c r="BB114" s="1"/>
      <c r="BC114" s="1"/>
      <c r="BD114" s="3"/>
      <c r="BE114" s="197"/>
      <c r="BF114" s="197"/>
      <c r="BG114" s="2"/>
      <c r="BH114" s="2"/>
      <c r="BI114" s="2"/>
      <c r="BJ114" s="2"/>
      <c r="BK114" s="197"/>
      <c r="BL114" s="197"/>
      <c r="BM114" s="2"/>
      <c r="BN114" s="2"/>
      <c r="BO114" s="2"/>
      <c r="BP114" s="2"/>
      <c r="BQ114" s="197"/>
      <c r="BR114" s="197"/>
      <c r="BS114" s="1"/>
      <c r="BT114" s="1"/>
      <c r="BU114" s="1"/>
      <c r="BV114" s="3"/>
      <c r="BW114" s="197"/>
      <c r="BX114" s="197"/>
      <c r="BY114" s="1"/>
      <c r="BZ114" s="1"/>
      <c r="CA114" s="1"/>
      <c r="CB114" s="3"/>
      <c r="CC114" s="197"/>
      <c r="CD114" s="197"/>
      <c r="CE114" s="2"/>
      <c r="CF114" s="2"/>
      <c r="CG114" s="2"/>
      <c r="CH114" s="2"/>
      <c r="CI114" s="197"/>
      <c r="CJ114" s="197"/>
      <c r="CK114" s="2"/>
      <c r="CL114" s="2"/>
      <c r="CM114" s="2"/>
      <c r="CN114" s="3"/>
      <c r="CO114" s="197"/>
      <c r="CP114" s="197"/>
      <c r="CQ114" s="1"/>
      <c r="CR114" s="1"/>
      <c r="CS114" s="1"/>
      <c r="CT114" s="3"/>
      <c r="CU114" s="197"/>
      <c r="CV114" s="197"/>
      <c r="CW114" s="1"/>
      <c r="CX114" s="1"/>
      <c r="CY114" s="1"/>
      <c r="CZ114" s="3"/>
      <c r="DA114" s="197"/>
      <c r="DB114" s="197"/>
      <c r="DC114" s="1"/>
      <c r="DD114" s="1"/>
      <c r="DE114" s="1"/>
      <c r="DF114" s="3"/>
      <c r="DG114" s="197"/>
      <c r="DH114" s="197"/>
      <c r="DI114" s="1"/>
      <c r="DJ114" s="1"/>
      <c r="DK114" s="1"/>
      <c r="DL114" s="3"/>
      <c r="DM114" s="197"/>
      <c r="DN114" s="197"/>
      <c r="DO114" s="1"/>
      <c r="DP114" s="1"/>
      <c r="DQ114" s="1"/>
      <c r="DR114" s="3"/>
    </row>
    <row r="115" spans="1:122" ht="12.9" customHeight="1" x14ac:dyDescent="0.2">
      <c r="A115" s="9" t="s">
        <v>3521</v>
      </c>
      <c r="B115" s="9">
        <v>19</v>
      </c>
      <c r="C115" s="198" t="s">
        <v>1387</v>
      </c>
      <c r="D115" s="198" t="s">
        <v>3824</v>
      </c>
      <c r="E115" s="9" t="s">
        <v>131</v>
      </c>
      <c r="F115" s="4" t="s">
        <v>228</v>
      </c>
      <c r="G115" s="4" t="s">
        <v>3602</v>
      </c>
      <c r="H115" s="5" t="s">
        <v>252</v>
      </c>
      <c r="I115" s="198" t="s">
        <v>805</v>
      </c>
      <c r="J115" s="198" t="s">
        <v>3826</v>
      </c>
      <c r="K115" s="4" t="s">
        <v>3527</v>
      </c>
      <c r="L115" s="4" t="s">
        <v>3557</v>
      </c>
      <c r="M115" s="4" t="s">
        <v>3558</v>
      </c>
      <c r="N115" s="5" t="s">
        <v>220</v>
      </c>
      <c r="O115" s="198" t="s">
        <v>2638</v>
      </c>
      <c r="P115" s="198" t="s">
        <v>3820</v>
      </c>
      <c r="Q115" s="9" t="s">
        <v>3821</v>
      </c>
      <c r="R115" s="4" t="s">
        <v>424</v>
      </c>
      <c r="S115" s="4" t="s">
        <v>425</v>
      </c>
      <c r="T115" s="5" t="s">
        <v>261</v>
      </c>
      <c r="U115" s="198" t="s">
        <v>806</v>
      </c>
      <c r="V115" s="198" t="s">
        <v>3826</v>
      </c>
      <c r="W115" s="4" t="s">
        <v>3264</v>
      </c>
      <c r="X115" s="4" t="s">
        <v>3265</v>
      </c>
      <c r="Y115" s="4" t="s">
        <v>808</v>
      </c>
      <c r="Z115" s="5" t="s">
        <v>3266</v>
      </c>
      <c r="AA115" s="198" t="s">
        <v>1388</v>
      </c>
      <c r="AB115" s="497" t="s">
        <v>3474</v>
      </c>
      <c r="AC115" s="9" t="s">
        <v>3766</v>
      </c>
      <c r="AD115" s="4" t="s">
        <v>2771</v>
      </c>
      <c r="AE115" s="4" t="s">
        <v>3765</v>
      </c>
      <c r="AF115" s="5" t="s">
        <v>3764</v>
      </c>
      <c r="AG115" s="506" t="s">
        <v>3112</v>
      </c>
      <c r="AH115" s="198" t="s">
        <v>2710</v>
      </c>
      <c r="AI115" s="4" t="s">
        <v>2417</v>
      </c>
      <c r="AJ115" s="4" t="s">
        <v>2456</v>
      </c>
      <c r="AK115" s="4" t="s">
        <v>2462</v>
      </c>
      <c r="AL115" s="5" t="s">
        <v>2457</v>
      </c>
      <c r="AM115" s="198" t="s">
        <v>2098</v>
      </c>
      <c r="AN115" s="198" t="s">
        <v>2178</v>
      </c>
      <c r="AO115" s="9" t="s">
        <v>2179</v>
      </c>
      <c r="AP115" s="4" t="s">
        <v>2180</v>
      </c>
      <c r="AQ115" s="4" t="s">
        <v>2181</v>
      </c>
      <c r="AR115" s="5" t="s">
        <v>2182</v>
      </c>
      <c r="AS115" s="198" t="s">
        <v>1389</v>
      </c>
      <c r="AT115" s="198" t="s">
        <v>3826</v>
      </c>
      <c r="AU115" s="530" t="s">
        <v>2332</v>
      </c>
      <c r="AV115" s="531" t="s">
        <v>837</v>
      </c>
      <c r="AW115" s="531" t="s">
        <v>3083</v>
      </c>
      <c r="AX115" s="532" t="s">
        <v>181</v>
      </c>
      <c r="AY115" s="497" t="s">
        <v>1390</v>
      </c>
      <c r="AZ115" s="198" t="s">
        <v>3270</v>
      </c>
      <c r="BA115" s="4" t="s">
        <v>258</v>
      </c>
      <c r="BB115" s="4" t="s">
        <v>813</v>
      </c>
      <c r="BC115" s="4" t="s">
        <v>232</v>
      </c>
      <c r="BD115" s="5" t="s">
        <v>3534</v>
      </c>
      <c r="BE115" s="198" t="s">
        <v>3475</v>
      </c>
      <c r="BF115" s="198" t="s">
        <v>130</v>
      </c>
      <c r="BG115" s="4" t="s">
        <v>3081</v>
      </c>
      <c r="BH115" s="4" t="s">
        <v>4258</v>
      </c>
      <c r="BI115" s="4" t="s">
        <v>4181</v>
      </c>
      <c r="BJ115" s="5" t="s">
        <v>3476</v>
      </c>
      <c r="BK115" s="198" t="s">
        <v>3098</v>
      </c>
      <c r="BL115" s="198" t="s">
        <v>3842</v>
      </c>
      <c r="BM115" s="4" t="s">
        <v>3843</v>
      </c>
      <c r="BN115" s="4" t="s">
        <v>3844</v>
      </c>
      <c r="BO115" s="4" t="s">
        <v>3845</v>
      </c>
      <c r="BP115" s="5" t="s">
        <v>3368</v>
      </c>
      <c r="BQ115" s="497" t="s">
        <v>3183</v>
      </c>
      <c r="BR115" s="198" t="s">
        <v>3477</v>
      </c>
      <c r="BS115" s="4"/>
      <c r="BT115" s="4"/>
      <c r="BU115" s="4"/>
      <c r="BV115" s="5"/>
      <c r="BW115" s="497" t="s">
        <v>3099</v>
      </c>
      <c r="BX115" s="198" t="s">
        <v>4230</v>
      </c>
      <c r="BY115" s="4" t="s">
        <v>842</v>
      </c>
      <c r="BZ115" s="4" t="s">
        <v>2339</v>
      </c>
      <c r="CA115" s="4" t="s">
        <v>843</v>
      </c>
      <c r="CB115" s="5" t="s">
        <v>844</v>
      </c>
      <c r="CC115" s="198"/>
      <c r="CD115" s="198"/>
      <c r="CE115" s="9"/>
      <c r="CF115" s="4"/>
      <c r="CG115" s="4"/>
      <c r="CH115" s="5"/>
      <c r="CI115" s="198"/>
      <c r="CJ115" s="198"/>
      <c r="CK115" s="4"/>
      <c r="CL115" s="4"/>
      <c r="CM115" s="4"/>
      <c r="CN115" s="5"/>
      <c r="CO115" s="497"/>
      <c r="CP115" s="198"/>
      <c r="CQ115" s="4"/>
      <c r="CR115" s="4"/>
      <c r="CS115" s="4"/>
      <c r="CT115" s="5"/>
      <c r="CU115" s="497"/>
      <c r="CV115" s="198"/>
      <c r="CW115" s="4"/>
      <c r="CX115" s="4"/>
      <c r="CY115" s="4"/>
      <c r="CZ115" s="5"/>
      <c r="DA115" s="497"/>
      <c r="DB115" s="198"/>
      <c r="DC115" s="4"/>
      <c r="DD115" s="4"/>
      <c r="DE115" s="4"/>
      <c r="DF115" s="5"/>
      <c r="DG115" s="497"/>
      <c r="DH115" s="198"/>
      <c r="DI115" s="4"/>
      <c r="DJ115" s="4"/>
      <c r="DK115" s="4"/>
      <c r="DL115" s="5"/>
      <c r="DM115" s="497"/>
      <c r="DN115" s="198"/>
      <c r="DO115" s="4"/>
      <c r="DP115" s="4"/>
      <c r="DQ115" s="4"/>
      <c r="DR115" s="5"/>
    </row>
    <row r="116" spans="1:122" ht="12.9" customHeight="1" x14ac:dyDescent="0.2">
      <c r="A116" s="2"/>
      <c r="B116" s="2"/>
      <c r="C116" s="280"/>
      <c r="D116" s="280"/>
      <c r="E116" s="2"/>
      <c r="F116" s="2"/>
      <c r="G116" s="2"/>
      <c r="H116" s="2"/>
      <c r="I116" s="280"/>
      <c r="J116" s="280"/>
      <c r="K116" s="2"/>
      <c r="L116" s="2"/>
      <c r="M116" s="2"/>
      <c r="N116" s="2"/>
      <c r="O116" s="280"/>
      <c r="P116" s="280"/>
      <c r="Q116" s="2"/>
      <c r="R116" s="2"/>
      <c r="S116" s="2"/>
      <c r="T116" s="2"/>
      <c r="U116" s="280"/>
      <c r="V116" s="280"/>
      <c r="W116" s="2"/>
      <c r="X116" s="2"/>
      <c r="Y116" s="2"/>
      <c r="Z116" s="2"/>
      <c r="AA116" s="280"/>
      <c r="AB116" s="280"/>
      <c r="AC116" s="2"/>
      <c r="AD116" s="2"/>
      <c r="AE116" s="2"/>
      <c r="AF116" s="2"/>
      <c r="AG116" s="280"/>
      <c r="AH116" s="280"/>
      <c r="AI116" s="2"/>
      <c r="AJ116" s="2"/>
      <c r="AK116" s="2"/>
      <c r="AL116" s="2"/>
      <c r="AM116" s="280"/>
      <c r="AN116" s="280"/>
      <c r="AO116" s="2"/>
      <c r="AP116" s="2"/>
      <c r="AQ116" s="2"/>
      <c r="AR116" s="2"/>
      <c r="AS116" s="280"/>
      <c r="AT116" s="280"/>
      <c r="AU116" s="2"/>
      <c r="AV116" s="2"/>
      <c r="AW116" s="2"/>
      <c r="AX116" s="2"/>
      <c r="AY116" s="280"/>
      <c r="AZ116" s="280"/>
      <c r="BA116" s="2"/>
      <c r="BB116" s="2"/>
      <c r="BC116" s="2"/>
      <c r="BD116" s="2"/>
      <c r="BE116" s="280"/>
      <c r="BF116" s="280"/>
      <c r="BG116" s="2"/>
      <c r="BH116" s="2"/>
      <c r="BI116" s="2"/>
      <c r="BJ116" s="2"/>
      <c r="BK116" s="280"/>
      <c r="BL116" s="280"/>
      <c r="BM116" s="2"/>
      <c r="BN116" s="2"/>
      <c r="BO116" s="2"/>
      <c r="BP116" s="2"/>
      <c r="BQ116" s="280"/>
      <c r="BR116" s="280"/>
      <c r="BS116" s="2"/>
      <c r="BT116" s="2"/>
      <c r="BU116" s="2"/>
      <c r="BV116" s="2"/>
      <c r="BW116" s="280"/>
      <c r="BX116" s="280"/>
      <c r="BY116" s="2"/>
      <c r="BZ116" s="2"/>
      <c r="CA116" s="2"/>
      <c r="CB116" s="2"/>
      <c r="CC116" s="280"/>
      <c r="CD116" s="280"/>
      <c r="CE116" s="2"/>
      <c r="CF116" s="2"/>
      <c r="CG116" s="2"/>
      <c r="CH116" s="2"/>
      <c r="CI116" s="280"/>
      <c r="CJ116" s="280"/>
      <c r="CK116" s="2"/>
      <c r="CL116" s="2"/>
      <c r="CM116" s="2"/>
      <c r="CN116" s="2"/>
      <c r="CO116" s="280"/>
      <c r="CP116" s="280"/>
      <c r="CQ116" s="2"/>
      <c r="CR116" s="2"/>
      <c r="CS116" s="2"/>
      <c r="CT116" s="2"/>
      <c r="CU116" s="280"/>
      <c r="CV116" s="280"/>
      <c r="CW116" s="2"/>
      <c r="CX116" s="2"/>
      <c r="CY116" s="2"/>
      <c r="CZ116" s="2"/>
      <c r="DA116" s="280"/>
      <c r="DB116" s="280"/>
      <c r="DC116" s="2"/>
      <c r="DD116" s="2"/>
      <c r="DE116" s="2"/>
      <c r="DF116" s="2"/>
      <c r="DG116" s="280"/>
      <c r="DH116" s="280"/>
      <c r="DI116" s="2"/>
      <c r="DJ116" s="2"/>
      <c r="DK116" s="2"/>
      <c r="DL116" s="2"/>
      <c r="DM116" s="280"/>
      <c r="DN116" s="280"/>
      <c r="DO116" s="2"/>
      <c r="DP116" s="2"/>
      <c r="DQ116" s="2"/>
      <c r="DR116" s="2"/>
    </row>
    <row r="117" spans="1:122" ht="15.6" x14ac:dyDescent="0.3">
      <c r="A117" s="671" t="s">
        <v>1284</v>
      </c>
      <c r="B117" s="671"/>
      <c r="C117" s="671"/>
      <c r="D117" s="671"/>
      <c r="E117" s="671"/>
      <c r="F117" s="671"/>
      <c r="G117" s="671"/>
      <c r="H117" s="671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49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  <c r="AN117" s="515"/>
      <c r="AO117" s="515"/>
      <c r="AP117" s="495"/>
      <c r="AQ117" s="495"/>
      <c r="AR117" s="495"/>
      <c r="AS117" s="495"/>
      <c r="AT117" s="495"/>
      <c r="AU117" s="495"/>
      <c r="AV117" s="495"/>
      <c r="AW117" s="495"/>
      <c r="AX117" s="495"/>
      <c r="AY117" s="495"/>
      <c r="AZ117" s="495"/>
      <c r="BE117" s="495"/>
      <c r="BF117" s="495"/>
      <c r="BG117" s="495"/>
      <c r="BH117" s="495"/>
      <c r="BI117" s="495"/>
      <c r="BJ117" s="495"/>
      <c r="BK117" s="495"/>
      <c r="BL117" s="495"/>
      <c r="BM117" s="495"/>
      <c r="BN117" s="495"/>
      <c r="BO117" s="495"/>
      <c r="BP117" s="495"/>
      <c r="BQ117" s="495"/>
      <c r="BR117" s="495"/>
      <c r="BW117" s="495"/>
      <c r="BX117" s="495"/>
      <c r="CC117" s="495"/>
      <c r="CD117" s="495"/>
      <c r="CE117" s="495"/>
      <c r="CF117" s="495"/>
      <c r="CG117" s="495"/>
      <c r="CH117" s="495"/>
      <c r="CI117" s="495"/>
      <c r="CJ117" s="495"/>
      <c r="CK117" s="495"/>
      <c r="CL117" s="495"/>
      <c r="CM117" s="495"/>
      <c r="CN117" s="495"/>
      <c r="CO117" s="495"/>
      <c r="CP117" s="495"/>
      <c r="CU117" s="495"/>
      <c r="CV117" s="495"/>
      <c r="DA117" s="495"/>
      <c r="DB117" s="495"/>
      <c r="DG117" s="495"/>
      <c r="DH117" s="495"/>
      <c r="DM117" s="495"/>
      <c r="DN117" s="495"/>
    </row>
    <row r="118" spans="1:122" ht="12.9" customHeight="1" x14ac:dyDescent="0.2">
      <c r="A118" s="509" t="s">
        <v>2012</v>
      </c>
      <c r="B118" s="494"/>
      <c r="C118" s="675" t="str">
        <f>+C181</f>
        <v>Seventh</v>
      </c>
      <c r="D118" s="676"/>
      <c r="E118" s="676"/>
      <c r="F118" s="676"/>
      <c r="G118" s="676"/>
      <c r="H118" s="677"/>
      <c r="I118" s="572"/>
      <c r="J118" s="573"/>
      <c r="K118" s="573"/>
      <c r="L118" s="573"/>
      <c r="M118" s="573"/>
      <c r="N118" s="573"/>
      <c r="O118" s="573"/>
      <c r="P118" s="573"/>
      <c r="Q118" s="573"/>
      <c r="R118" s="573"/>
      <c r="S118" s="573"/>
      <c r="T118" s="573"/>
      <c r="U118" s="49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495"/>
      <c r="AQ118" s="495"/>
      <c r="AR118" s="495"/>
      <c r="AS118" s="495"/>
      <c r="AT118" s="495"/>
      <c r="AU118" s="495"/>
      <c r="AV118" s="495"/>
      <c r="AW118" s="495"/>
      <c r="AX118" s="495"/>
      <c r="AY118" s="495"/>
      <c r="AZ118" s="495"/>
      <c r="BE118" s="495"/>
      <c r="BF118" s="495"/>
      <c r="BG118" s="495"/>
      <c r="BH118" s="495"/>
      <c r="BI118" s="495"/>
      <c r="BJ118" s="495"/>
      <c r="BK118" s="495"/>
      <c r="BL118" s="495"/>
      <c r="BM118" s="495"/>
      <c r="BN118" s="495"/>
      <c r="BO118" s="495"/>
      <c r="BP118" s="495"/>
      <c r="BQ118" s="495"/>
      <c r="BR118" s="495"/>
      <c r="BW118" s="495"/>
      <c r="BX118" s="495"/>
      <c r="CC118" s="495"/>
      <c r="CD118" s="495"/>
      <c r="CE118" s="495"/>
      <c r="CF118" s="495"/>
      <c r="CG118" s="495"/>
      <c r="CH118" s="495"/>
      <c r="CI118" s="495"/>
      <c r="CJ118" s="495"/>
      <c r="CK118" s="495"/>
      <c r="CL118" s="495"/>
      <c r="CM118" s="495"/>
      <c r="CN118" s="495"/>
      <c r="CO118" s="495"/>
      <c r="CP118" s="495"/>
      <c r="CU118" s="495"/>
      <c r="CV118" s="495"/>
      <c r="DA118" s="495"/>
      <c r="DB118" s="495"/>
      <c r="DG118" s="495"/>
      <c r="DH118" s="495"/>
      <c r="DM118" s="495"/>
      <c r="DN118" s="495"/>
    </row>
    <row r="119" spans="1:122" ht="12.9" customHeight="1" x14ac:dyDescent="0.2">
      <c r="A119" s="496"/>
      <c r="B119" s="9"/>
      <c r="C119" s="521" t="s">
        <v>1855</v>
      </c>
      <c r="D119" s="498"/>
      <c r="E119" s="4" t="s">
        <v>2017</v>
      </c>
      <c r="F119" s="4" t="s">
        <v>2018</v>
      </c>
      <c r="G119" s="4" t="s">
        <v>2019</v>
      </c>
      <c r="H119" s="5" t="s">
        <v>2020</v>
      </c>
      <c r="I119" s="280"/>
      <c r="J119" s="280"/>
      <c r="K119" s="2"/>
      <c r="L119" s="2"/>
      <c r="M119" s="2"/>
      <c r="N119" s="2"/>
      <c r="O119" s="280"/>
      <c r="P119" s="280"/>
      <c r="Q119" s="2"/>
      <c r="R119" s="2"/>
      <c r="S119" s="2"/>
      <c r="T119" s="2"/>
      <c r="U119" s="49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495"/>
      <c r="AQ119" s="495"/>
      <c r="AR119" s="495"/>
      <c r="AS119" s="495"/>
      <c r="AT119" s="495"/>
      <c r="AU119" s="495"/>
      <c r="AV119" s="495"/>
      <c r="AW119" s="495"/>
      <c r="AX119" s="495"/>
      <c r="AY119" s="495"/>
      <c r="AZ119" s="495"/>
      <c r="BE119" s="495"/>
      <c r="BF119" s="495"/>
      <c r="BG119" s="495"/>
      <c r="BH119" s="495"/>
      <c r="BI119" s="495"/>
      <c r="BJ119" s="495"/>
      <c r="BK119" s="495"/>
      <c r="BL119" s="495"/>
      <c r="BM119" s="495"/>
      <c r="BN119" s="495"/>
      <c r="BO119" s="495"/>
      <c r="BP119" s="495"/>
      <c r="BQ119" s="495"/>
      <c r="BR119" s="495"/>
      <c r="BW119" s="495"/>
      <c r="BX119" s="495"/>
      <c r="CC119" s="495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5"/>
      <c r="CO119" s="495"/>
      <c r="CP119" s="495"/>
      <c r="CU119" s="495"/>
      <c r="CV119" s="495"/>
      <c r="DA119" s="495"/>
      <c r="DB119" s="495"/>
      <c r="DG119" s="495"/>
      <c r="DH119" s="495"/>
      <c r="DM119" s="495"/>
      <c r="DN119" s="495"/>
    </row>
    <row r="120" spans="1:122" ht="12.9" customHeight="1" x14ac:dyDescent="0.2">
      <c r="A120" s="505" t="str">
        <f>+'Past Quartets 1st - 3rd Place'!A120</f>
        <v>2007 P</v>
      </c>
      <c r="B120" s="3">
        <f>+'Past Quartets 1st - 3rd Place'!B120</f>
        <v>3</v>
      </c>
      <c r="C120" s="197" t="s">
        <v>3215</v>
      </c>
      <c r="D120" s="504" t="s">
        <v>3215</v>
      </c>
      <c r="E120" s="2" t="s">
        <v>3215</v>
      </c>
      <c r="F120" s="2" t="s">
        <v>3215</v>
      </c>
      <c r="G120" s="2" t="s">
        <v>3215</v>
      </c>
      <c r="H120" s="3" t="s">
        <v>3215</v>
      </c>
      <c r="I120" s="280"/>
      <c r="J120" s="280"/>
      <c r="K120" s="2"/>
      <c r="L120" s="2"/>
      <c r="M120" s="2"/>
      <c r="N120" s="2"/>
      <c r="O120" s="280"/>
      <c r="P120" s="280"/>
      <c r="Q120" s="2"/>
      <c r="R120" s="2"/>
      <c r="S120" s="2"/>
      <c r="T120" s="2"/>
      <c r="U120" s="49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495"/>
      <c r="AQ120" s="495"/>
      <c r="AR120" s="495"/>
      <c r="AS120" s="495"/>
      <c r="AT120" s="495"/>
      <c r="AU120" s="495"/>
      <c r="AV120" s="495"/>
      <c r="AW120" s="495"/>
      <c r="AX120" s="495"/>
      <c r="AY120" s="495"/>
      <c r="AZ120" s="495"/>
      <c r="BE120" s="495"/>
      <c r="BF120" s="495"/>
      <c r="BG120" s="495"/>
      <c r="BH120" s="495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W120" s="495"/>
      <c r="BX120" s="495"/>
      <c r="CC120" s="495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5"/>
      <c r="CO120" s="495"/>
      <c r="CP120" s="495"/>
      <c r="CU120" s="495"/>
      <c r="CV120" s="495"/>
      <c r="DA120" s="495"/>
      <c r="DB120" s="495"/>
      <c r="DG120" s="495"/>
      <c r="DH120" s="495"/>
      <c r="DM120" s="495"/>
      <c r="DN120" s="495"/>
    </row>
    <row r="121" spans="1:122" s="507" customFormat="1" ht="12.9" customHeight="1" x14ac:dyDescent="0.2">
      <c r="A121" s="505" t="str">
        <f>+'Past Quartets 1st - 3rd Place'!A121</f>
        <v>2008 P</v>
      </c>
      <c r="B121" s="3">
        <f>+'Past Quartets 1st - 3rd Place'!B121</f>
        <v>2</v>
      </c>
      <c r="C121" s="197" t="s">
        <v>3215</v>
      </c>
      <c r="D121" s="504" t="s">
        <v>3215</v>
      </c>
      <c r="E121" s="2" t="s">
        <v>3215</v>
      </c>
      <c r="F121" s="2" t="s">
        <v>3215</v>
      </c>
      <c r="G121" s="2" t="s">
        <v>3215</v>
      </c>
      <c r="H121" s="3" t="s">
        <v>3215</v>
      </c>
      <c r="I121" s="280"/>
      <c r="J121" s="280"/>
      <c r="K121" s="2"/>
      <c r="L121" s="2"/>
      <c r="M121" s="2"/>
      <c r="N121" s="2"/>
      <c r="O121" s="280"/>
      <c r="P121" s="280"/>
      <c r="Q121" s="2"/>
      <c r="R121" s="2"/>
      <c r="S121" s="2"/>
      <c r="T121" s="2"/>
    </row>
    <row r="122" spans="1:122" s="507" customFormat="1" ht="12.9" customHeight="1" x14ac:dyDescent="0.2">
      <c r="A122" s="505" t="str">
        <f>+'Past Quartets 1st - 3rd Place'!A122</f>
        <v>2009 P</v>
      </c>
      <c r="B122" s="3">
        <f>+'Past Quartets 1st - 3rd Place'!B122</f>
        <v>3</v>
      </c>
      <c r="C122" s="197" t="s">
        <v>3215</v>
      </c>
      <c r="D122" s="504" t="s">
        <v>3215</v>
      </c>
      <c r="E122" s="2" t="s">
        <v>3215</v>
      </c>
      <c r="F122" s="2" t="s">
        <v>3215</v>
      </c>
      <c r="G122" s="2" t="s">
        <v>3215</v>
      </c>
      <c r="H122" s="3" t="s">
        <v>3215</v>
      </c>
      <c r="I122" s="280"/>
      <c r="J122" s="280"/>
      <c r="K122" s="2"/>
      <c r="L122" s="2"/>
      <c r="M122" s="2"/>
      <c r="N122" s="2"/>
      <c r="O122" s="280"/>
      <c r="P122" s="280"/>
      <c r="Q122" s="2"/>
      <c r="R122" s="2"/>
      <c r="S122" s="2"/>
      <c r="T122" s="2"/>
    </row>
    <row r="123" spans="1:122" s="507" customFormat="1" ht="12.9" customHeight="1" x14ac:dyDescent="0.2">
      <c r="A123" s="505" t="str">
        <f>+'Past Quartets 1st - 3rd Place'!A123</f>
        <v>2010 P</v>
      </c>
      <c r="B123" s="3">
        <f>+'Past Quartets 1st - 3rd Place'!B123</f>
        <v>2</v>
      </c>
      <c r="C123" s="197" t="s">
        <v>3215</v>
      </c>
      <c r="D123" s="504" t="s">
        <v>3215</v>
      </c>
      <c r="E123" s="2" t="s">
        <v>3215</v>
      </c>
      <c r="F123" s="2" t="s">
        <v>3215</v>
      </c>
      <c r="G123" s="2" t="s">
        <v>3215</v>
      </c>
      <c r="H123" s="3" t="s">
        <v>3215</v>
      </c>
      <c r="I123" s="280"/>
      <c r="J123" s="280"/>
      <c r="K123" s="2"/>
      <c r="L123" s="2"/>
      <c r="M123" s="2"/>
      <c r="N123" s="2"/>
      <c r="O123" s="280"/>
      <c r="P123" s="280"/>
      <c r="Q123" s="2"/>
      <c r="R123" s="2"/>
      <c r="S123" s="2"/>
      <c r="T123" s="2"/>
    </row>
    <row r="124" spans="1:122" s="507" customFormat="1" ht="12.9" customHeight="1" x14ac:dyDescent="0.2">
      <c r="A124" s="505" t="str">
        <f>+'Past Quartets 1st - 3rd Place'!A124</f>
        <v>2011 P</v>
      </c>
      <c r="B124" s="3">
        <f>+'Past Quartets 1st - 3rd Place'!B124</f>
        <v>6</v>
      </c>
      <c r="C124" s="197" t="s">
        <v>3215</v>
      </c>
      <c r="D124" s="504" t="s">
        <v>3215</v>
      </c>
      <c r="E124" s="2" t="s">
        <v>3215</v>
      </c>
      <c r="F124" s="2" t="s">
        <v>3215</v>
      </c>
      <c r="G124" s="2" t="s">
        <v>3215</v>
      </c>
      <c r="H124" s="3" t="s">
        <v>3215</v>
      </c>
      <c r="I124" s="280"/>
      <c r="J124" s="280"/>
      <c r="K124" s="2"/>
      <c r="L124" s="2"/>
      <c r="M124" s="2"/>
      <c r="N124" s="2"/>
      <c r="O124" s="280"/>
      <c r="P124" s="280"/>
      <c r="Q124" s="2"/>
      <c r="R124" s="2"/>
      <c r="S124" s="2"/>
      <c r="T124" s="2"/>
    </row>
    <row r="125" spans="1:122" s="507" customFormat="1" ht="12.9" customHeight="1" x14ac:dyDescent="0.2">
      <c r="A125" s="505" t="str">
        <f>+'Past Quartets 1st - 3rd Place'!A125</f>
        <v>2012 P</v>
      </c>
      <c r="B125" s="3">
        <f>+'Past Quartets 1st - 3rd Place'!B125</f>
        <v>6</v>
      </c>
      <c r="C125" s="197" t="s">
        <v>3215</v>
      </c>
      <c r="D125" s="504" t="s">
        <v>3215</v>
      </c>
      <c r="E125" s="2" t="s">
        <v>3215</v>
      </c>
      <c r="F125" s="2" t="s">
        <v>3215</v>
      </c>
      <c r="G125" s="2" t="s">
        <v>3215</v>
      </c>
      <c r="H125" s="3" t="s">
        <v>3215</v>
      </c>
      <c r="I125" s="280"/>
      <c r="J125" s="280"/>
      <c r="K125" s="2"/>
      <c r="L125" s="2"/>
      <c r="M125" s="2"/>
      <c r="N125" s="2"/>
      <c r="O125" s="280"/>
      <c r="P125" s="280"/>
      <c r="Q125" s="2"/>
      <c r="R125" s="2"/>
      <c r="S125" s="2"/>
      <c r="T125" s="2"/>
    </row>
    <row r="126" spans="1:122" s="507" customFormat="1" ht="12.9" customHeight="1" x14ac:dyDescent="0.2">
      <c r="A126" s="505" t="str">
        <f>+'Past Quartets 1st - 3rd Place'!A126</f>
        <v>2013 P</v>
      </c>
      <c r="B126" s="3">
        <f>+'Past Quartets 1st - 3rd Place'!B126</f>
        <v>3</v>
      </c>
      <c r="C126" s="197" t="s">
        <v>3215</v>
      </c>
      <c r="D126" s="504" t="s">
        <v>3215</v>
      </c>
      <c r="E126" s="2" t="s">
        <v>3215</v>
      </c>
      <c r="F126" s="2" t="s">
        <v>3215</v>
      </c>
      <c r="G126" s="2" t="s">
        <v>3215</v>
      </c>
      <c r="H126" s="3" t="s">
        <v>3215</v>
      </c>
      <c r="I126" s="280"/>
      <c r="J126" s="280"/>
      <c r="K126" s="2"/>
      <c r="L126" s="2"/>
      <c r="M126" s="2"/>
      <c r="N126" s="2"/>
      <c r="O126" s="280"/>
      <c r="P126" s="280"/>
      <c r="Q126" s="2"/>
      <c r="R126" s="2"/>
      <c r="S126" s="2"/>
      <c r="T126" s="2"/>
    </row>
    <row r="127" spans="1:122" s="507" customFormat="1" ht="12.9" customHeight="1" x14ac:dyDescent="0.2">
      <c r="A127" s="505" t="str">
        <f>+'Past Quartets 1st - 3rd Place'!A127</f>
        <v>2014 P</v>
      </c>
      <c r="B127" s="3">
        <f>+'Past Quartets 1st - 3rd Place'!B127</f>
        <v>7</v>
      </c>
      <c r="C127" s="197" t="s">
        <v>928</v>
      </c>
      <c r="D127" s="504" t="s">
        <v>929</v>
      </c>
      <c r="E127" s="2" t="s">
        <v>917</v>
      </c>
      <c r="F127" s="2" t="s">
        <v>930</v>
      </c>
      <c r="G127" s="2" t="s">
        <v>931</v>
      </c>
      <c r="H127" s="3" t="s">
        <v>932</v>
      </c>
      <c r="I127" s="280"/>
      <c r="J127" s="280"/>
      <c r="K127" s="2"/>
      <c r="L127" s="2"/>
      <c r="M127" s="2"/>
      <c r="N127" s="2"/>
      <c r="O127" s="280"/>
      <c r="P127" s="280"/>
      <c r="Q127" s="2"/>
      <c r="R127" s="2"/>
      <c r="S127" s="2"/>
      <c r="T127" s="2"/>
    </row>
    <row r="128" spans="1:122" s="507" customFormat="1" ht="12.9" customHeight="1" x14ac:dyDescent="0.2">
      <c r="A128" s="505" t="str">
        <f>+'Past Quartets 1st - 3rd Place'!A128</f>
        <v>2015 P</v>
      </c>
      <c r="B128" s="3">
        <f>+'Past Quartets 1st - 3rd Place'!B128</f>
        <v>6</v>
      </c>
      <c r="C128" s="197" t="s">
        <v>3215</v>
      </c>
      <c r="D128" s="504" t="s">
        <v>3215</v>
      </c>
      <c r="E128" s="2" t="s">
        <v>3215</v>
      </c>
      <c r="F128" s="2" t="s">
        <v>3215</v>
      </c>
      <c r="G128" s="2" t="s">
        <v>3215</v>
      </c>
      <c r="H128" s="3" t="s">
        <v>3215</v>
      </c>
      <c r="I128" s="280"/>
      <c r="J128" s="280"/>
      <c r="K128" s="2"/>
      <c r="L128" s="2"/>
      <c r="M128" s="2"/>
      <c r="N128" s="2"/>
      <c r="O128" s="280"/>
      <c r="P128" s="280"/>
      <c r="Q128" s="2"/>
      <c r="R128" s="2"/>
      <c r="S128" s="2"/>
      <c r="T128" s="2"/>
    </row>
    <row r="129" spans="1:122" s="507" customFormat="1" ht="12.9" customHeight="1" x14ac:dyDescent="0.2">
      <c r="A129" s="505" t="str">
        <f>+'Past Quartets 1st - 3rd Place'!A129</f>
        <v>2016 P</v>
      </c>
      <c r="B129" s="3">
        <f>+'Past Quartets 1st - 3rd Place'!B129</f>
        <v>7</v>
      </c>
      <c r="C129" s="197" t="s">
        <v>4365</v>
      </c>
      <c r="D129" s="504" t="s">
        <v>2011</v>
      </c>
      <c r="E129" s="2" t="s">
        <v>4366</v>
      </c>
      <c r="F129" s="2" t="s">
        <v>4367</v>
      </c>
      <c r="G129" s="2" t="s">
        <v>4368</v>
      </c>
      <c r="H129" s="3" t="s">
        <v>4369</v>
      </c>
      <c r="I129" s="280"/>
      <c r="J129" s="280"/>
      <c r="K129" s="2"/>
      <c r="L129" s="2"/>
      <c r="M129" s="2"/>
      <c r="N129" s="2"/>
      <c r="O129" s="280"/>
      <c r="P129" s="280"/>
      <c r="Q129" s="2"/>
      <c r="R129" s="2"/>
      <c r="S129" s="2"/>
      <c r="T129" s="2"/>
    </row>
    <row r="130" spans="1:122" s="507" customFormat="1" ht="12.9" customHeight="1" x14ac:dyDescent="0.2">
      <c r="A130" s="505" t="str">
        <f>+'Past Quartets 1st - 3rd Place'!A130</f>
        <v>2017 P</v>
      </c>
      <c r="B130" s="3">
        <f>+'Past Quartets 1st - 3rd Place'!B130</f>
        <v>3</v>
      </c>
      <c r="C130" s="197"/>
      <c r="D130" s="504"/>
      <c r="E130" s="2"/>
      <c r="F130" s="2"/>
      <c r="G130" s="2"/>
      <c r="H130" s="3"/>
      <c r="I130" s="280"/>
      <c r="J130" s="280"/>
      <c r="K130" s="2"/>
      <c r="L130" s="2"/>
      <c r="M130" s="2"/>
      <c r="N130" s="2"/>
      <c r="O130" s="280"/>
      <c r="P130" s="280"/>
      <c r="Q130" s="2"/>
      <c r="R130" s="2"/>
      <c r="S130" s="2"/>
      <c r="T130" s="2"/>
    </row>
    <row r="131" spans="1:122" s="507" customFormat="1" ht="12.9" customHeight="1" x14ac:dyDescent="0.2">
      <c r="A131" s="496"/>
      <c r="B131" s="496"/>
      <c r="C131" s="198"/>
      <c r="D131" s="198"/>
      <c r="E131" s="9"/>
      <c r="F131" s="4"/>
      <c r="G131" s="4"/>
      <c r="H131" s="5"/>
      <c r="I131" s="280"/>
      <c r="J131" s="280"/>
      <c r="K131" s="2"/>
      <c r="L131" s="2"/>
      <c r="M131" s="2"/>
      <c r="N131" s="2"/>
      <c r="O131" s="280"/>
      <c r="P131" s="280"/>
      <c r="Q131" s="2"/>
      <c r="R131" s="2"/>
      <c r="S131" s="2"/>
      <c r="T131" s="2"/>
    </row>
    <row r="135" spans="1:122" ht="12.9" customHeight="1" x14ac:dyDescent="0.2">
      <c r="I135" s="280"/>
      <c r="J135" s="280"/>
      <c r="K135" s="2"/>
      <c r="L135" s="2"/>
      <c r="M135" s="2"/>
      <c r="N135" s="2"/>
      <c r="O135" s="280"/>
      <c r="P135" s="280"/>
      <c r="Q135" s="507"/>
      <c r="R135" s="507"/>
      <c r="S135" s="507"/>
      <c r="T135" s="507"/>
      <c r="U135" s="495"/>
      <c r="V135" s="495"/>
      <c r="W135" s="495"/>
      <c r="X135" s="495"/>
      <c r="Y135" s="495"/>
      <c r="Z135" s="495"/>
      <c r="AA135" s="495"/>
      <c r="AB135" s="495"/>
      <c r="AC135" s="495"/>
      <c r="AD135" s="495"/>
      <c r="AE135" s="495"/>
      <c r="AF135" s="495"/>
      <c r="AG135" s="495"/>
      <c r="AH135" s="495"/>
      <c r="AM135" s="495"/>
      <c r="AN135" s="495"/>
      <c r="AO135" s="495"/>
      <c r="AP135" s="495"/>
      <c r="AQ135" s="495"/>
      <c r="AR135" s="495"/>
      <c r="AS135" s="495"/>
      <c r="AT135" s="495"/>
      <c r="AU135" s="495"/>
      <c r="AV135" s="495"/>
      <c r="AW135" s="495"/>
      <c r="AX135" s="495"/>
      <c r="AY135" s="495"/>
      <c r="AZ135" s="495"/>
      <c r="BE135" s="495"/>
      <c r="BF135" s="495"/>
      <c r="BG135" s="495"/>
      <c r="BH135" s="495"/>
      <c r="BI135" s="495"/>
      <c r="BJ135" s="495"/>
      <c r="BK135" s="495"/>
      <c r="BL135" s="495"/>
      <c r="BM135" s="495"/>
      <c r="BN135" s="495"/>
      <c r="BO135" s="495"/>
      <c r="BP135" s="495"/>
      <c r="BQ135" s="495"/>
      <c r="BR135" s="495"/>
      <c r="BW135" s="495"/>
      <c r="BX135" s="495"/>
      <c r="CC135" s="495"/>
      <c r="CD135" s="495"/>
      <c r="CE135" s="495"/>
      <c r="CF135" s="495"/>
      <c r="CG135" s="495"/>
      <c r="CH135" s="495"/>
      <c r="CI135" s="495"/>
      <c r="CJ135" s="495"/>
      <c r="CK135" s="495"/>
      <c r="CL135" s="495"/>
      <c r="CM135" s="495"/>
      <c r="CN135" s="495"/>
      <c r="CO135" s="495"/>
      <c r="CP135" s="495"/>
      <c r="CU135" s="495"/>
      <c r="CV135" s="495"/>
      <c r="DA135" s="495"/>
      <c r="DB135" s="495"/>
      <c r="DG135" s="495"/>
      <c r="DH135" s="495"/>
      <c r="DM135" s="495"/>
      <c r="DN135" s="495"/>
    </row>
    <row r="136" spans="1:122" ht="12.9" customHeight="1" x14ac:dyDescent="0.2">
      <c r="A136" s="2"/>
      <c r="B136" s="2"/>
      <c r="C136" s="280"/>
      <c r="D136" s="280"/>
      <c r="E136" s="2"/>
      <c r="F136" s="2"/>
      <c r="G136" s="2"/>
      <c r="H136" s="2"/>
      <c r="I136" s="280"/>
      <c r="J136" s="280"/>
      <c r="K136" s="2"/>
      <c r="L136" s="2"/>
      <c r="M136" s="2"/>
      <c r="N136" s="2"/>
      <c r="O136" s="280"/>
      <c r="P136" s="280"/>
      <c r="Q136" s="2"/>
      <c r="R136" s="2"/>
      <c r="S136" s="2"/>
      <c r="T136" s="2"/>
      <c r="U136" s="280"/>
      <c r="V136" s="280"/>
      <c r="W136" s="2"/>
      <c r="X136" s="2"/>
      <c r="Y136" s="2"/>
      <c r="Z136" s="2"/>
      <c r="AA136" s="280"/>
      <c r="AB136" s="280"/>
      <c r="AC136" s="2"/>
      <c r="AD136" s="2"/>
      <c r="AE136" s="2"/>
      <c r="AF136" s="2"/>
      <c r="AG136" s="280"/>
      <c r="AH136" s="280"/>
      <c r="AI136" s="2"/>
      <c r="AJ136" s="2"/>
      <c r="AK136" s="2"/>
      <c r="AL136" s="2"/>
      <c r="AM136" s="280"/>
      <c r="AN136" s="280"/>
      <c r="AO136" s="2"/>
      <c r="AP136" s="2"/>
      <c r="AQ136" s="2"/>
      <c r="AR136" s="2"/>
      <c r="AS136" s="280"/>
      <c r="AT136" s="280"/>
      <c r="AU136" s="2"/>
      <c r="AV136" s="2"/>
      <c r="AW136" s="2"/>
      <c r="AX136" s="2"/>
      <c r="AY136" s="280"/>
      <c r="AZ136" s="280"/>
      <c r="BA136" s="2"/>
      <c r="BB136" s="2"/>
      <c r="BC136" s="2"/>
      <c r="BD136" s="2"/>
      <c r="BE136" s="280"/>
      <c r="BF136" s="280"/>
      <c r="BG136" s="2"/>
      <c r="BH136" s="2"/>
      <c r="BI136" s="2"/>
      <c r="BJ136" s="2"/>
      <c r="BK136" s="280"/>
      <c r="BL136" s="280"/>
      <c r="BM136" s="2"/>
      <c r="BN136" s="2"/>
      <c r="BO136" s="2"/>
      <c r="BP136" s="2"/>
      <c r="BQ136" s="280"/>
      <c r="BR136" s="280"/>
      <c r="BS136" s="2"/>
      <c r="BT136" s="2"/>
      <c r="BU136" s="2"/>
      <c r="BV136" s="2"/>
      <c r="BW136" s="280"/>
      <c r="BX136" s="280"/>
      <c r="BY136" s="2"/>
      <c r="BZ136" s="2"/>
      <c r="CA136" s="2"/>
      <c r="CB136" s="2"/>
      <c r="CC136" s="280"/>
      <c r="CD136" s="280"/>
      <c r="CE136" s="2"/>
      <c r="CF136" s="2"/>
      <c r="CG136" s="2"/>
      <c r="CH136" s="2"/>
      <c r="CI136" s="280"/>
      <c r="CJ136" s="280"/>
      <c r="CK136" s="2"/>
      <c r="CL136" s="2"/>
      <c r="CM136" s="2"/>
      <c r="CN136" s="2"/>
      <c r="CO136" s="280"/>
      <c r="CP136" s="280"/>
      <c r="CQ136" s="2"/>
      <c r="CR136" s="2"/>
      <c r="CS136" s="2"/>
      <c r="CT136" s="2"/>
      <c r="CU136" s="280"/>
      <c r="CV136" s="280"/>
      <c r="CW136" s="2"/>
      <c r="CX136" s="2"/>
      <c r="CY136" s="2"/>
      <c r="CZ136" s="2"/>
      <c r="DA136" s="280"/>
      <c r="DB136" s="280"/>
      <c r="DC136" s="2"/>
      <c r="DD136" s="2"/>
      <c r="DE136" s="2"/>
      <c r="DF136" s="2"/>
      <c r="DG136" s="280"/>
      <c r="DH136" s="280"/>
      <c r="DI136" s="2"/>
      <c r="DJ136" s="2"/>
      <c r="DK136" s="2"/>
      <c r="DL136" s="2"/>
      <c r="DM136" s="280"/>
      <c r="DN136" s="280"/>
      <c r="DO136" s="2"/>
      <c r="DP136" s="2"/>
      <c r="DQ136" s="2"/>
      <c r="DR136" s="2"/>
    </row>
    <row r="137" spans="1:122" ht="12.9" customHeight="1" x14ac:dyDescent="0.2">
      <c r="A137" s="2"/>
      <c r="B137" s="2"/>
      <c r="C137" s="280"/>
      <c r="D137" s="280"/>
      <c r="E137" s="2"/>
      <c r="F137" s="2"/>
      <c r="G137" s="2"/>
      <c r="H137" s="2"/>
      <c r="I137" s="280"/>
      <c r="J137" s="280"/>
      <c r="K137" s="2"/>
      <c r="L137" s="2"/>
      <c r="M137" s="2"/>
      <c r="N137" s="2"/>
      <c r="O137" s="280"/>
      <c r="P137" s="280"/>
      <c r="Q137" s="2"/>
      <c r="R137" s="2"/>
      <c r="S137" s="2"/>
      <c r="T137" s="2"/>
      <c r="U137" s="280"/>
      <c r="V137" s="280"/>
      <c r="W137" s="2"/>
      <c r="X137" s="2"/>
      <c r="Y137" s="2"/>
      <c r="Z137" s="2"/>
      <c r="AA137" s="280"/>
      <c r="AB137" s="280"/>
      <c r="AC137" s="2"/>
      <c r="AD137" s="2"/>
      <c r="AE137" s="2"/>
      <c r="AF137" s="2"/>
      <c r="AG137" s="280"/>
      <c r="AH137" s="280"/>
      <c r="AI137" s="2"/>
      <c r="AJ137" s="2"/>
      <c r="AK137" s="2"/>
      <c r="AL137" s="2"/>
      <c r="AM137" s="280"/>
      <c r="AN137" s="280"/>
      <c r="AO137" s="2"/>
      <c r="AP137" s="2"/>
      <c r="AQ137" s="2"/>
      <c r="AR137" s="2"/>
      <c r="AS137" s="280"/>
      <c r="AT137" s="280"/>
      <c r="AU137" s="2"/>
      <c r="AV137" s="2"/>
      <c r="AW137" s="2"/>
      <c r="AX137" s="2"/>
      <c r="AY137" s="280"/>
      <c r="AZ137" s="280"/>
      <c r="BA137" s="2"/>
      <c r="BB137" s="2"/>
      <c r="BC137" s="2"/>
      <c r="BD137" s="2"/>
      <c r="BE137" s="280"/>
      <c r="BF137" s="280"/>
      <c r="BG137" s="2"/>
      <c r="BH137" s="2"/>
      <c r="BI137" s="2"/>
      <c r="BJ137" s="2"/>
      <c r="BK137" s="280"/>
      <c r="BL137" s="280"/>
      <c r="BM137" s="2"/>
      <c r="BN137" s="2"/>
      <c r="BO137" s="2"/>
      <c r="BP137" s="2"/>
      <c r="BQ137" s="280"/>
      <c r="BR137" s="280"/>
      <c r="BS137" s="2"/>
      <c r="BT137" s="2"/>
      <c r="BU137" s="2"/>
      <c r="BV137" s="2"/>
      <c r="BW137" s="280"/>
      <c r="BX137" s="280"/>
      <c r="BY137" s="2"/>
      <c r="BZ137" s="2"/>
      <c r="CA137" s="2"/>
      <c r="CB137" s="2"/>
      <c r="CC137" s="280"/>
      <c r="CD137" s="280"/>
      <c r="CE137" s="2"/>
      <c r="CF137" s="2"/>
      <c r="CG137" s="2"/>
      <c r="CH137" s="2"/>
      <c r="CI137" s="280"/>
      <c r="CJ137" s="280"/>
      <c r="CK137" s="2"/>
      <c r="CL137" s="2"/>
      <c r="CM137" s="2"/>
      <c r="CN137" s="2"/>
      <c r="CO137" s="280"/>
      <c r="CP137" s="280"/>
      <c r="CQ137" s="2"/>
      <c r="CR137" s="2"/>
      <c r="CS137" s="2"/>
      <c r="CT137" s="2"/>
      <c r="CU137" s="280"/>
      <c r="CV137" s="280"/>
      <c r="CW137" s="2"/>
      <c r="CX137" s="2"/>
      <c r="CY137" s="2"/>
      <c r="CZ137" s="2"/>
      <c r="DA137" s="280"/>
      <c r="DB137" s="280"/>
      <c r="DC137" s="2"/>
      <c r="DD137" s="2"/>
      <c r="DE137" s="2"/>
      <c r="DF137" s="2"/>
      <c r="DG137" s="280"/>
      <c r="DH137" s="280"/>
      <c r="DI137" s="2"/>
      <c r="DJ137" s="2"/>
      <c r="DK137" s="2"/>
      <c r="DL137" s="2"/>
      <c r="DM137" s="280"/>
      <c r="DN137" s="280"/>
      <c r="DO137" s="2"/>
      <c r="DP137" s="2"/>
      <c r="DQ137" s="2"/>
      <c r="DR137" s="2"/>
    </row>
    <row r="138" spans="1:122" ht="12.9" customHeight="1" x14ac:dyDescent="0.2">
      <c r="A138" s="2"/>
      <c r="B138" s="2"/>
      <c r="C138" s="280"/>
      <c r="D138" s="280"/>
      <c r="E138" s="2"/>
      <c r="F138" s="2"/>
      <c r="G138" s="2"/>
      <c r="H138" s="2"/>
      <c r="I138" s="280"/>
      <c r="J138" s="280"/>
      <c r="K138" s="2"/>
      <c r="L138" s="2"/>
      <c r="M138" s="2"/>
      <c r="N138" s="2"/>
      <c r="O138" s="280"/>
      <c r="P138" s="280"/>
      <c r="Q138" s="2"/>
      <c r="R138" s="2"/>
      <c r="S138" s="2"/>
      <c r="T138" s="2"/>
      <c r="U138" s="280"/>
      <c r="V138" s="280"/>
      <c r="W138" s="2"/>
      <c r="X138" s="2"/>
      <c r="Y138" s="2"/>
      <c r="Z138" s="2"/>
      <c r="AA138" s="280"/>
      <c r="AB138" s="280"/>
      <c r="AC138" s="2"/>
      <c r="AD138" s="2"/>
      <c r="AE138" s="2"/>
      <c r="AF138" s="2"/>
      <c r="AG138" s="280"/>
      <c r="AH138" s="280"/>
      <c r="AI138" s="2"/>
      <c r="AJ138" s="2"/>
      <c r="AK138" s="2"/>
      <c r="AL138" s="2"/>
      <c r="AM138" s="280"/>
      <c r="AN138" s="280"/>
      <c r="AO138" s="2"/>
      <c r="AP138" s="2"/>
      <c r="AQ138" s="2"/>
      <c r="AR138" s="2"/>
      <c r="AS138" s="280"/>
      <c r="AT138" s="280"/>
      <c r="AU138" s="2"/>
      <c r="AV138" s="2"/>
      <c r="AW138" s="2"/>
      <c r="AX138" s="2"/>
      <c r="AY138" s="280"/>
      <c r="AZ138" s="280"/>
      <c r="BA138" s="2"/>
      <c r="BB138" s="2"/>
      <c r="BC138" s="2"/>
      <c r="BD138" s="2"/>
      <c r="BE138" s="280"/>
      <c r="BF138" s="280"/>
      <c r="BG138" s="2"/>
      <c r="BH138" s="2"/>
      <c r="BI138" s="2"/>
      <c r="BJ138" s="2"/>
      <c r="BK138" s="280"/>
      <c r="BL138" s="280"/>
      <c r="BM138" s="2"/>
      <c r="BN138" s="2"/>
      <c r="BO138" s="2"/>
      <c r="BP138" s="2"/>
      <c r="BQ138" s="280"/>
      <c r="BR138" s="280"/>
      <c r="BS138" s="2"/>
      <c r="BT138" s="2"/>
      <c r="BU138" s="2"/>
      <c r="BV138" s="2"/>
      <c r="BW138" s="280"/>
      <c r="BX138" s="280"/>
      <c r="BY138" s="2"/>
      <c r="BZ138" s="2"/>
      <c r="CA138" s="2"/>
      <c r="CB138" s="2"/>
      <c r="CC138" s="280"/>
      <c r="CD138" s="280"/>
      <c r="CE138" s="2"/>
      <c r="CF138" s="2"/>
      <c r="CG138" s="2"/>
      <c r="CH138" s="2"/>
      <c r="CI138" s="280"/>
      <c r="CJ138" s="280"/>
      <c r="CK138" s="2"/>
      <c r="CL138" s="2"/>
      <c r="CM138" s="2"/>
      <c r="CN138" s="2"/>
      <c r="CO138" s="280"/>
      <c r="CP138" s="280"/>
      <c r="CQ138" s="2"/>
      <c r="CR138" s="2"/>
      <c r="CS138" s="2"/>
      <c r="CT138" s="2"/>
      <c r="CU138" s="280"/>
      <c r="CV138" s="280"/>
      <c r="CW138" s="2"/>
      <c r="CX138" s="2"/>
      <c r="CY138" s="2"/>
      <c r="CZ138" s="2"/>
      <c r="DA138" s="280"/>
      <c r="DB138" s="280"/>
      <c r="DC138" s="2"/>
      <c r="DD138" s="2"/>
      <c r="DE138" s="2"/>
      <c r="DF138" s="2"/>
      <c r="DG138" s="280"/>
      <c r="DH138" s="280"/>
      <c r="DI138" s="2"/>
      <c r="DJ138" s="2"/>
      <c r="DK138" s="2"/>
      <c r="DL138" s="2"/>
      <c r="DM138" s="280"/>
      <c r="DN138" s="280"/>
      <c r="DO138" s="2"/>
      <c r="DP138" s="2"/>
      <c r="DQ138" s="2"/>
      <c r="DR138" s="2"/>
    </row>
    <row r="139" spans="1:122" ht="12.9" customHeight="1" x14ac:dyDescent="0.2">
      <c r="A139" s="2"/>
      <c r="B139" s="2"/>
      <c r="C139" s="280"/>
      <c r="D139" s="280"/>
      <c r="E139" s="2"/>
      <c r="F139" s="2"/>
      <c r="G139" s="2"/>
      <c r="H139" s="2"/>
      <c r="I139" s="280"/>
      <c r="J139" s="280"/>
      <c r="K139" s="2"/>
      <c r="L139" s="2"/>
      <c r="M139" s="2"/>
      <c r="N139" s="2"/>
      <c r="O139" s="280"/>
      <c r="P139" s="280"/>
      <c r="Q139" s="2"/>
      <c r="R139" s="2"/>
      <c r="S139" s="2"/>
      <c r="T139" s="2"/>
      <c r="U139" s="280"/>
      <c r="V139" s="280"/>
      <c r="W139" s="2"/>
      <c r="X139" s="2"/>
      <c r="Y139" s="2"/>
      <c r="Z139" s="2"/>
      <c r="AA139" s="280"/>
      <c r="AB139" s="280"/>
      <c r="AC139" s="2"/>
      <c r="AD139" s="2"/>
      <c r="AE139" s="2"/>
      <c r="AF139" s="2"/>
      <c r="AG139" s="280"/>
      <c r="AH139" s="280"/>
      <c r="AI139" s="2"/>
      <c r="AJ139" s="2"/>
      <c r="AK139" s="2"/>
      <c r="AL139" s="2"/>
      <c r="AM139" s="280"/>
      <c r="AN139" s="280"/>
      <c r="AO139" s="2"/>
      <c r="AP139" s="2"/>
      <c r="AQ139" s="2"/>
      <c r="AR139" s="2"/>
      <c r="AS139" s="280"/>
      <c r="AT139" s="280"/>
      <c r="AU139" s="2"/>
      <c r="AV139" s="2"/>
      <c r="AW139" s="2"/>
      <c r="AX139" s="2"/>
      <c r="AY139" s="280"/>
      <c r="AZ139" s="280"/>
      <c r="BA139" s="2"/>
      <c r="BB139" s="2"/>
      <c r="BC139" s="2"/>
      <c r="BD139" s="2"/>
      <c r="BE139" s="280"/>
      <c r="BF139" s="280"/>
      <c r="BG139" s="2"/>
      <c r="BH139" s="2"/>
      <c r="BI139" s="2"/>
      <c r="BJ139" s="2"/>
      <c r="BK139" s="280"/>
      <c r="BL139" s="280"/>
      <c r="BM139" s="2"/>
      <c r="BN139" s="2"/>
      <c r="BO139" s="2"/>
      <c r="BP139" s="2"/>
      <c r="BQ139" s="280"/>
      <c r="BR139" s="280"/>
      <c r="BS139" s="2"/>
      <c r="BT139" s="2"/>
      <c r="BU139" s="2"/>
      <c r="BV139" s="2"/>
      <c r="BW139" s="280"/>
      <c r="BX139" s="280"/>
      <c r="BY139" s="2"/>
      <c r="BZ139" s="2"/>
      <c r="CA139" s="2"/>
      <c r="CB139" s="2"/>
      <c r="CC139" s="280"/>
      <c r="CD139" s="280"/>
      <c r="CE139" s="2"/>
      <c r="CF139" s="2"/>
      <c r="CG139" s="2"/>
      <c r="CH139" s="2"/>
      <c r="CI139" s="280"/>
      <c r="CJ139" s="280"/>
      <c r="CK139" s="2"/>
      <c r="CL139" s="2"/>
      <c r="CM139" s="2"/>
      <c r="CN139" s="2"/>
      <c r="CO139" s="280"/>
      <c r="CP139" s="280"/>
      <c r="CQ139" s="2"/>
      <c r="CR139" s="2"/>
      <c r="CS139" s="2"/>
      <c r="CT139" s="2"/>
      <c r="CU139" s="280"/>
      <c r="CV139" s="280"/>
      <c r="CW139" s="2"/>
      <c r="CX139" s="2"/>
      <c r="CY139" s="2"/>
      <c r="CZ139" s="2"/>
      <c r="DA139" s="280"/>
      <c r="DB139" s="280"/>
      <c r="DC139" s="2"/>
      <c r="DD139" s="2"/>
      <c r="DE139" s="2"/>
      <c r="DF139" s="2"/>
      <c r="DG139" s="280"/>
      <c r="DH139" s="280"/>
      <c r="DI139" s="2"/>
      <c r="DJ139" s="2"/>
      <c r="DK139" s="2"/>
      <c r="DL139" s="2"/>
      <c r="DM139" s="280"/>
      <c r="DN139" s="280"/>
      <c r="DO139" s="2"/>
      <c r="DP139" s="2"/>
      <c r="DQ139" s="2"/>
      <c r="DR139" s="2"/>
    </row>
    <row r="140" spans="1:122" ht="12.9" customHeight="1" x14ac:dyDescent="0.2">
      <c r="A140" s="2"/>
      <c r="B140" s="2"/>
      <c r="C140" s="280"/>
      <c r="D140" s="280"/>
      <c r="E140" s="2"/>
      <c r="F140" s="2"/>
      <c r="G140" s="2"/>
      <c r="H140" s="2"/>
      <c r="I140" s="280"/>
      <c r="J140" s="280"/>
      <c r="K140" s="2"/>
      <c r="L140" s="2"/>
      <c r="M140" s="2"/>
      <c r="N140" s="2"/>
      <c r="O140" s="280"/>
      <c r="P140" s="280"/>
      <c r="Q140" s="2"/>
      <c r="R140" s="2"/>
      <c r="S140" s="2"/>
      <c r="T140" s="2"/>
      <c r="U140" s="280"/>
      <c r="V140" s="280"/>
      <c r="W140" s="2"/>
      <c r="X140" s="2"/>
      <c r="Y140" s="2"/>
      <c r="Z140" s="2"/>
      <c r="AA140" s="280"/>
      <c r="AB140" s="280"/>
      <c r="AC140" s="2"/>
      <c r="AD140" s="2"/>
      <c r="AE140" s="2"/>
      <c r="AF140" s="2"/>
      <c r="AG140" s="280"/>
      <c r="AH140" s="280"/>
      <c r="AI140" s="2"/>
      <c r="AJ140" s="2"/>
      <c r="AK140" s="2"/>
      <c r="AL140" s="2"/>
      <c r="AM140" s="280"/>
      <c r="AN140" s="280"/>
      <c r="AO140" s="2"/>
      <c r="AP140" s="2"/>
      <c r="AQ140" s="2"/>
      <c r="AR140" s="2"/>
      <c r="AS140" s="280"/>
      <c r="AT140" s="280"/>
      <c r="AU140" s="2"/>
      <c r="AV140" s="2"/>
      <c r="AW140" s="2"/>
      <c r="AX140" s="2"/>
      <c r="AY140" s="280"/>
      <c r="AZ140" s="280"/>
      <c r="BA140" s="2"/>
      <c r="BB140" s="2"/>
      <c r="BC140" s="2"/>
      <c r="BD140" s="2"/>
      <c r="BE140" s="280"/>
      <c r="BF140" s="280"/>
      <c r="BG140" s="2"/>
      <c r="BH140" s="2"/>
      <c r="BI140" s="2"/>
      <c r="BJ140" s="2"/>
      <c r="BK140" s="280"/>
      <c r="BL140" s="280"/>
      <c r="BM140" s="2"/>
      <c r="BN140" s="2"/>
      <c r="BO140" s="2"/>
      <c r="BP140" s="2"/>
      <c r="BQ140" s="280"/>
      <c r="BR140" s="280"/>
      <c r="BS140" s="2"/>
      <c r="BT140" s="2"/>
      <c r="BU140" s="2"/>
      <c r="BV140" s="2"/>
      <c r="BW140" s="280"/>
      <c r="BX140" s="280"/>
      <c r="BY140" s="2"/>
      <c r="BZ140" s="2"/>
      <c r="CA140" s="2"/>
      <c r="CB140" s="2"/>
      <c r="CC140" s="280"/>
      <c r="CD140" s="280"/>
      <c r="CE140" s="2"/>
      <c r="CF140" s="2"/>
      <c r="CG140" s="2"/>
      <c r="CH140" s="2"/>
      <c r="CI140" s="280"/>
      <c r="CJ140" s="280"/>
      <c r="CK140" s="2"/>
      <c r="CL140" s="2"/>
      <c r="CM140" s="2"/>
      <c r="CN140" s="2"/>
      <c r="CO140" s="280"/>
      <c r="CP140" s="280"/>
      <c r="CQ140" s="2"/>
      <c r="CR140" s="2"/>
      <c r="CS140" s="2"/>
      <c r="CT140" s="2"/>
      <c r="CU140" s="280"/>
      <c r="CV140" s="280"/>
      <c r="CW140" s="2"/>
      <c r="CX140" s="2"/>
      <c r="CY140" s="2"/>
      <c r="CZ140" s="2"/>
      <c r="DA140" s="280"/>
      <c r="DB140" s="280"/>
      <c r="DC140" s="2"/>
      <c r="DD140" s="2"/>
      <c r="DE140" s="2"/>
      <c r="DF140" s="2"/>
      <c r="DG140" s="280"/>
      <c r="DH140" s="280"/>
      <c r="DI140" s="2"/>
      <c r="DJ140" s="2"/>
      <c r="DK140" s="2"/>
      <c r="DL140" s="2"/>
      <c r="DM140" s="280"/>
      <c r="DN140" s="280"/>
      <c r="DO140" s="2"/>
      <c r="DP140" s="2"/>
      <c r="DQ140" s="2"/>
      <c r="DR140" s="2"/>
    </row>
    <row r="141" spans="1:122" ht="12.9" customHeight="1" x14ac:dyDescent="0.2">
      <c r="A141" s="2"/>
      <c r="B141" s="2"/>
      <c r="C141" s="280"/>
      <c r="D141" s="280"/>
      <c r="E141" s="2"/>
      <c r="F141" s="2"/>
      <c r="G141" s="2"/>
      <c r="H141" s="2"/>
      <c r="I141" s="280"/>
      <c r="J141" s="280"/>
      <c r="K141" s="2"/>
      <c r="L141" s="2"/>
      <c r="M141" s="2"/>
      <c r="N141" s="2"/>
      <c r="O141" s="280"/>
      <c r="P141" s="280"/>
      <c r="Q141" s="2"/>
      <c r="R141" s="2"/>
      <c r="S141" s="2"/>
      <c r="T141" s="2"/>
      <c r="U141" s="280"/>
      <c r="V141" s="280"/>
      <c r="W141" s="2"/>
      <c r="X141" s="2"/>
      <c r="Y141" s="2"/>
      <c r="Z141" s="2"/>
      <c r="AA141" s="280"/>
      <c r="AB141" s="280"/>
      <c r="AC141" s="2"/>
      <c r="AD141" s="2"/>
      <c r="AE141" s="2"/>
      <c r="AF141" s="2"/>
      <c r="AG141" s="280"/>
      <c r="AH141" s="280"/>
      <c r="AI141" s="2"/>
      <c r="AJ141" s="2"/>
      <c r="AK141" s="2"/>
      <c r="AL141" s="2"/>
      <c r="AM141" s="280"/>
      <c r="AN141" s="280"/>
      <c r="AO141" s="2"/>
      <c r="AP141" s="2"/>
      <c r="AQ141" s="2"/>
      <c r="AR141" s="2"/>
      <c r="AS141" s="280"/>
      <c r="AT141" s="280"/>
      <c r="AU141" s="2"/>
      <c r="AV141" s="2"/>
      <c r="AW141" s="2"/>
      <c r="AX141" s="2"/>
      <c r="AY141" s="280"/>
      <c r="AZ141" s="280"/>
      <c r="BA141" s="2"/>
      <c r="BB141" s="2"/>
      <c r="BC141" s="2"/>
      <c r="BD141" s="2"/>
      <c r="BE141" s="280"/>
      <c r="BF141" s="280"/>
      <c r="BG141" s="2"/>
      <c r="BH141" s="2"/>
      <c r="BI141" s="2"/>
      <c r="BJ141" s="2"/>
      <c r="BK141" s="280"/>
      <c r="BL141" s="280"/>
      <c r="BM141" s="2"/>
      <c r="BN141" s="2"/>
      <c r="BO141" s="2"/>
      <c r="BP141" s="2"/>
      <c r="BQ141" s="280"/>
      <c r="BR141" s="280"/>
      <c r="BS141" s="2"/>
      <c r="BT141" s="2"/>
      <c r="BU141" s="2"/>
      <c r="BV141" s="2"/>
      <c r="BW141" s="280"/>
      <c r="BX141" s="280"/>
      <c r="BY141" s="2"/>
      <c r="BZ141" s="2"/>
      <c r="CA141" s="2"/>
      <c r="CB141" s="2"/>
      <c r="CC141" s="280"/>
      <c r="CD141" s="280"/>
      <c r="CE141" s="2"/>
      <c r="CF141" s="2"/>
      <c r="CG141" s="2"/>
      <c r="CH141" s="2"/>
      <c r="CI141" s="280"/>
      <c r="CJ141" s="280"/>
      <c r="CK141" s="2"/>
      <c r="CL141" s="2"/>
      <c r="CM141" s="2"/>
      <c r="CN141" s="2"/>
      <c r="CO141" s="280"/>
      <c r="CP141" s="280"/>
      <c r="CQ141" s="2"/>
      <c r="CR141" s="2"/>
      <c r="CS141" s="2"/>
      <c r="CT141" s="2"/>
      <c r="CU141" s="280"/>
      <c r="CV141" s="280"/>
      <c r="CW141" s="2"/>
      <c r="CX141" s="2"/>
      <c r="CY141" s="2"/>
      <c r="CZ141" s="2"/>
      <c r="DA141" s="280"/>
      <c r="DB141" s="280"/>
      <c r="DC141" s="2"/>
      <c r="DD141" s="2"/>
      <c r="DE141" s="2"/>
      <c r="DF141" s="2"/>
      <c r="DG141" s="280"/>
      <c r="DH141" s="280"/>
      <c r="DI141" s="2"/>
      <c r="DJ141" s="2"/>
      <c r="DK141" s="2"/>
      <c r="DL141" s="2"/>
      <c r="DM141" s="280"/>
      <c r="DN141" s="280"/>
      <c r="DO141" s="2"/>
      <c r="DP141" s="2"/>
      <c r="DQ141" s="2"/>
      <c r="DR141" s="2"/>
    </row>
    <row r="142" spans="1:122" ht="12.9" customHeight="1" x14ac:dyDescent="0.2">
      <c r="A142" s="2"/>
      <c r="B142" s="2"/>
      <c r="C142" s="280"/>
      <c r="D142" s="280"/>
      <c r="E142" s="2"/>
      <c r="F142" s="2"/>
      <c r="G142" s="2"/>
      <c r="H142" s="2"/>
      <c r="I142" s="280"/>
      <c r="J142" s="280"/>
      <c r="K142" s="2"/>
      <c r="L142" s="2"/>
      <c r="M142" s="2"/>
      <c r="N142" s="2"/>
      <c r="O142" s="280"/>
      <c r="P142" s="280"/>
      <c r="Q142" s="2"/>
      <c r="R142" s="2"/>
      <c r="S142" s="2"/>
      <c r="T142" s="2"/>
      <c r="U142" s="280"/>
      <c r="V142" s="280"/>
      <c r="W142" s="2"/>
      <c r="X142" s="2"/>
      <c r="Y142" s="2"/>
      <c r="Z142" s="2"/>
      <c r="AA142" s="280"/>
      <c r="AB142" s="280"/>
      <c r="AC142" s="2"/>
      <c r="AD142" s="2"/>
      <c r="AE142" s="2"/>
      <c r="AF142" s="2"/>
      <c r="AG142" s="280"/>
      <c r="AH142" s="280"/>
      <c r="AI142" s="2"/>
      <c r="AJ142" s="2"/>
      <c r="AK142" s="2"/>
      <c r="AL142" s="2"/>
      <c r="AM142" s="280"/>
      <c r="AN142" s="280"/>
      <c r="AO142" s="2"/>
      <c r="AP142" s="2"/>
      <c r="AQ142" s="2"/>
      <c r="AR142" s="2"/>
      <c r="AS142" s="280"/>
      <c r="AT142" s="280"/>
      <c r="AU142" s="2"/>
      <c r="AV142" s="2"/>
      <c r="AW142" s="2"/>
      <c r="AX142" s="2"/>
      <c r="AY142" s="280"/>
      <c r="AZ142" s="280"/>
      <c r="BA142" s="2"/>
      <c r="BB142" s="2"/>
      <c r="BC142" s="2"/>
      <c r="BD142" s="2"/>
      <c r="BE142" s="280"/>
      <c r="BF142" s="280"/>
      <c r="BG142" s="2"/>
      <c r="BH142" s="2"/>
      <c r="BI142" s="2"/>
      <c r="BJ142" s="2"/>
      <c r="BK142" s="280"/>
      <c r="BL142" s="280"/>
      <c r="BM142" s="2"/>
      <c r="BN142" s="2"/>
      <c r="BO142" s="2"/>
      <c r="BP142" s="2"/>
      <c r="BQ142" s="280"/>
      <c r="BR142" s="280"/>
      <c r="BS142" s="2"/>
      <c r="BT142" s="2"/>
      <c r="BU142" s="2"/>
      <c r="BV142" s="2"/>
      <c r="BW142" s="280"/>
      <c r="BX142" s="280"/>
      <c r="BY142" s="2"/>
      <c r="BZ142" s="2"/>
      <c r="CA142" s="2"/>
      <c r="CB142" s="2"/>
      <c r="CC142" s="280"/>
      <c r="CD142" s="280"/>
      <c r="CE142" s="2"/>
      <c r="CF142" s="2"/>
      <c r="CG142" s="2"/>
      <c r="CH142" s="2"/>
      <c r="CI142" s="280"/>
      <c r="CJ142" s="280"/>
      <c r="CK142" s="2"/>
      <c r="CL142" s="2"/>
      <c r="CM142" s="2"/>
      <c r="CN142" s="2"/>
      <c r="CO142" s="280"/>
      <c r="CP142" s="280"/>
      <c r="CQ142" s="2"/>
      <c r="CR142" s="2"/>
      <c r="CS142" s="2"/>
      <c r="CT142" s="2"/>
      <c r="CU142" s="280"/>
      <c r="CV142" s="280"/>
      <c r="CW142" s="2"/>
      <c r="CX142" s="2"/>
      <c r="CY142" s="2"/>
      <c r="CZ142" s="2"/>
      <c r="DA142" s="280"/>
      <c r="DB142" s="280"/>
      <c r="DC142" s="2"/>
      <c r="DD142" s="2"/>
      <c r="DE142" s="2"/>
      <c r="DF142" s="2"/>
      <c r="DG142" s="280"/>
      <c r="DH142" s="280"/>
      <c r="DI142" s="2"/>
      <c r="DJ142" s="2"/>
      <c r="DK142" s="2"/>
      <c r="DL142" s="2"/>
      <c r="DM142" s="280"/>
      <c r="DN142" s="280"/>
      <c r="DO142" s="2"/>
      <c r="DP142" s="2"/>
      <c r="DQ142" s="2"/>
      <c r="DR142" s="2"/>
    </row>
    <row r="143" spans="1:122" ht="12.9" customHeight="1" x14ac:dyDescent="0.2">
      <c r="A143" s="2"/>
      <c r="B143" s="2"/>
      <c r="C143" s="280"/>
      <c r="D143" s="280"/>
      <c r="E143" s="2"/>
      <c r="F143" s="2"/>
      <c r="G143" s="2"/>
      <c r="H143" s="2"/>
      <c r="I143" s="280"/>
      <c r="J143" s="280"/>
      <c r="K143" s="2"/>
      <c r="L143" s="2"/>
      <c r="M143" s="2"/>
      <c r="N143" s="2"/>
      <c r="O143" s="280"/>
      <c r="P143" s="280"/>
      <c r="Q143" s="2"/>
      <c r="R143" s="2"/>
      <c r="S143" s="2"/>
      <c r="T143" s="2"/>
      <c r="U143" s="280"/>
      <c r="V143" s="280"/>
      <c r="W143" s="2"/>
      <c r="X143" s="2"/>
      <c r="Y143" s="2"/>
      <c r="Z143" s="2"/>
      <c r="AA143" s="280"/>
      <c r="AB143" s="280"/>
      <c r="AC143" s="2"/>
      <c r="AD143" s="2"/>
      <c r="AE143" s="2"/>
      <c r="AF143" s="2"/>
      <c r="AG143" s="280"/>
      <c r="AH143" s="280"/>
      <c r="AI143" s="2"/>
      <c r="AJ143" s="2"/>
      <c r="AK143" s="2"/>
      <c r="AL143" s="2"/>
      <c r="AM143" s="280"/>
      <c r="AN143" s="280"/>
      <c r="AO143" s="2"/>
      <c r="AP143" s="2"/>
      <c r="AQ143" s="2"/>
      <c r="AR143" s="2"/>
      <c r="AS143" s="280"/>
      <c r="AT143" s="280"/>
      <c r="AU143" s="2"/>
      <c r="AV143" s="2"/>
      <c r="AW143" s="2"/>
      <c r="AX143" s="2"/>
      <c r="AY143" s="280"/>
      <c r="AZ143" s="280"/>
      <c r="BA143" s="2"/>
      <c r="BB143" s="2"/>
      <c r="BC143" s="2"/>
      <c r="BD143" s="2"/>
      <c r="BE143" s="280"/>
      <c r="BF143" s="280"/>
      <c r="BG143" s="2"/>
      <c r="BH143" s="2"/>
      <c r="BI143" s="2"/>
      <c r="BJ143" s="2"/>
      <c r="BK143" s="280"/>
      <c r="BL143" s="280"/>
      <c r="BM143" s="2"/>
      <c r="BN143" s="2"/>
      <c r="BO143" s="2"/>
      <c r="BP143" s="2"/>
      <c r="BQ143" s="280"/>
      <c r="BR143" s="280"/>
      <c r="BS143" s="2"/>
      <c r="BT143" s="2"/>
      <c r="BU143" s="2"/>
      <c r="BV143" s="2"/>
      <c r="BW143" s="280"/>
      <c r="BX143" s="280"/>
      <c r="BY143" s="2"/>
      <c r="BZ143" s="2"/>
      <c r="CA143" s="2"/>
      <c r="CB143" s="2"/>
      <c r="CC143" s="280"/>
      <c r="CD143" s="280"/>
      <c r="CE143" s="2"/>
      <c r="CF143" s="2"/>
      <c r="CG143" s="2"/>
      <c r="CH143" s="2"/>
      <c r="CI143" s="280"/>
      <c r="CJ143" s="280"/>
      <c r="CK143" s="2"/>
      <c r="CL143" s="2"/>
      <c r="CM143" s="2"/>
      <c r="CN143" s="2"/>
      <c r="CO143" s="280"/>
      <c r="CP143" s="280"/>
      <c r="CQ143" s="2"/>
      <c r="CR143" s="2"/>
      <c r="CS143" s="2"/>
      <c r="CT143" s="2"/>
      <c r="CU143" s="280"/>
      <c r="CV143" s="280"/>
      <c r="CW143" s="2"/>
      <c r="CX143" s="2"/>
      <c r="CY143" s="2"/>
      <c r="CZ143" s="2"/>
      <c r="DA143" s="280"/>
      <c r="DB143" s="280"/>
      <c r="DC143" s="2"/>
      <c r="DD143" s="2"/>
      <c r="DE143" s="2"/>
      <c r="DF143" s="2"/>
      <c r="DG143" s="280"/>
      <c r="DH143" s="280"/>
      <c r="DI143" s="2"/>
      <c r="DJ143" s="2"/>
      <c r="DK143" s="2"/>
      <c r="DL143" s="2"/>
      <c r="DM143" s="280"/>
      <c r="DN143" s="280"/>
      <c r="DO143" s="2"/>
      <c r="DP143" s="2"/>
      <c r="DQ143" s="2"/>
      <c r="DR143" s="2"/>
    </row>
    <row r="144" spans="1:122" ht="12.9" customHeight="1" x14ac:dyDescent="0.2">
      <c r="A144" s="2"/>
      <c r="B144" s="2"/>
      <c r="C144" s="280"/>
      <c r="D144" s="280"/>
      <c r="E144" s="2"/>
      <c r="F144" s="2"/>
      <c r="G144" s="2"/>
      <c r="H144" s="2"/>
      <c r="I144" s="280"/>
      <c r="J144" s="280"/>
      <c r="K144" s="2"/>
      <c r="L144" s="2"/>
      <c r="M144" s="2"/>
      <c r="N144" s="2"/>
      <c r="O144" s="280"/>
      <c r="P144" s="280"/>
      <c r="Q144" s="2"/>
      <c r="R144" s="2"/>
      <c r="S144" s="2"/>
      <c r="T144" s="2"/>
      <c r="U144" s="280"/>
      <c r="V144" s="280"/>
      <c r="W144" s="2"/>
      <c r="X144" s="2"/>
      <c r="Y144" s="2"/>
      <c r="Z144" s="2"/>
      <c r="AA144" s="280"/>
      <c r="AB144" s="280"/>
      <c r="AC144" s="2"/>
      <c r="AD144" s="2"/>
      <c r="AE144" s="2"/>
      <c r="AF144" s="2"/>
      <c r="AG144" s="280"/>
      <c r="AH144" s="280"/>
      <c r="AI144" s="2"/>
      <c r="AJ144" s="2"/>
      <c r="AK144" s="2"/>
      <c r="AL144" s="2"/>
      <c r="AM144" s="280"/>
      <c r="AN144" s="280"/>
      <c r="AO144" s="2"/>
      <c r="AP144" s="2"/>
      <c r="AQ144" s="2"/>
      <c r="AR144" s="2"/>
      <c r="AS144" s="280"/>
      <c r="AT144" s="280"/>
      <c r="AU144" s="2"/>
      <c r="AV144" s="2"/>
      <c r="AW144" s="2"/>
      <c r="AX144" s="2"/>
      <c r="AY144" s="280"/>
      <c r="AZ144" s="280"/>
      <c r="BA144" s="2"/>
      <c r="BB144" s="2"/>
      <c r="BC144" s="2"/>
      <c r="BD144" s="2"/>
      <c r="BE144" s="280"/>
      <c r="BF144" s="280"/>
      <c r="BG144" s="2"/>
      <c r="BH144" s="2"/>
      <c r="BI144" s="2"/>
      <c r="BJ144" s="2"/>
      <c r="BK144" s="280"/>
      <c r="BL144" s="280"/>
      <c r="BM144" s="2"/>
      <c r="BN144" s="2"/>
      <c r="BO144" s="2"/>
      <c r="BP144" s="2"/>
      <c r="BQ144" s="280"/>
      <c r="BR144" s="280"/>
      <c r="BS144" s="2"/>
      <c r="BT144" s="2"/>
      <c r="BU144" s="2"/>
      <c r="BV144" s="2"/>
      <c r="BW144" s="280"/>
      <c r="BX144" s="280"/>
      <c r="BY144" s="2"/>
      <c r="BZ144" s="2"/>
      <c r="CA144" s="2"/>
      <c r="CB144" s="2"/>
      <c r="CC144" s="280"/>
      <c r="CD144" s="280"/>
      <c r="CE144" s="2"/>
      <c r="CF144" s="2"/>
      <c r="CG144" s="2"/>
      <c r="CH144" s="2"/>
      <c r="CI144" s="280"/>
      <c r="CJ144" s="280"/>
      <c r="CK144" s="2"/>
      <c r="CL144" s="2"/>
      <c r="CM144" s="2"/>
      <c r="CN144" s="2"/>
      <c r="CO144" s="280"/>
      <c r="CP144" s="280"/>
      <c r="CQ144" s="2"/>
      <c r="CR144" s="2"/>
      <c r="CS144" s="2"/>
      <c r="CT144" s="2"/>
      <c r="CU144" s="280"/>
      <c r="CV144" s="280"/>
      <c r="CW144" s="2"/>
      <c r="CX144" s="2"/>
      <c r="CY144" s="2"/>
      <c r="CZ144" s="2"/>
      <c r="DA144" s="280"/>
      <c r="DB144" s="280"/>
      <c r="DC144" s="2"/>
      <c r="DD144" s="2"/>
      <c r="DE144" s="2"/>
      <c r="DF144" s="2"/>
      <c r="DG144" s="280"/>
      <c r="DH144" s="280"/>
      <c r="DI144" s="2"/>
      <c r="DJ144" s="2"/>
      <c r="DK144" s="2"/>
      <c r="DL144" s="2"/>
      <c r="DM144" s="280"/>
      <c r="DN144" s="280"/>
      <c r="DO144" s="2"/>
      <c r="DP144" s="2"/>
      <c r="DQ144" s="2"/>
      <c r="DR144" s="2"/>
    </row>
    <row r="145" spans="1:254" ht="12.9" customHeight="1" x14ac:dyDescent="0.2">
      <c r="A145" s="2"/>
      <c r="B145" s="2"/>
      <c r="C145" s="280"/>
      <c r="D145" s="280"/>
      <c r="E145" s="2"/>
      <c r="F145" s="2"/>
      <c r="G145" s="2"/>
      <c r="H145" s="2"/>
      <c r="I145" s="280"/>
      <c r="J145" s="280"/>
      <c r="K145" s="2"/>
      <c r="L145" s="2"/>
      <c r="M145" s="2"/>
      <c r="N145" s="2"/>
      <c r="O145" s="280"/>
      <c r="P145" s="280"/>
      <c r="Q145" s="2"/>
      <c r="R145" s="2"/>
      <c r="S145" s="2"/>
      <c r="T145" s="2"/>
      <c r="U145" s="280"/>
      <c r="V145" s="280"/>
      <c r="W145" s="2"/>
      <c r="X145" s="2"/>
      <c r="Y145" s="2"/>
      <c r="Z145" s="2"/>
      <c r="AA145" s="280"/>
      <c r="AB145" s="280"/>
      <c r="AC145" s="2"/>
      <c r="AD145" s="2"/>
      <c r="AE145" s="2"/>
      <c r="AF145" s="2"/>
      <c r="AG145" s="280"/>
      <c r="AH145" s="280"/>
      <c r="AI145" s="2"/>
      <c r="AJ145" s="2"/>
      <c r="AK145" s="2"/>
      <c r="AL145" s="2"/>
      <c r="AM145" s="280"/>
      <c r="AN145" s="280"/>
      <c r="AO145" s="2"/>
      <c r="AP145" s="2"/>
      <c r="AQ145" s="2"/>
      <c r="AR145" s="2"/>
      <c r="AS145" s="280"/>
      <c r="AT145" s="280"/>
      <c r="AU145" s="2"/>
      <c r="AV145" s="2"/>
      <c r="AW145" s="2"/>
      <c r="AX145" s="2"/>
      <c r="AY145" s="280"/>
      <c r="AZ145" s="280"/>
      <c r="BA145" s="2"/>
      <c r="BB145" s="2"/>
      <c r="BC145" s="2"/>
      <c r="BD145" s="2"/>
      <c r="BE145" s="280"/>
      <c r="BF145" s="280"/>
      <c r="BG145" s="2"/>
      <c r="BH145" s="2"/>
      <c r="BI145" s="2"/>
      <c r="BJ145" s="2"/>
      <c r="BK145" s="280"/>
      <c r="BL145" s="280"/>
      <c r="BM145" s="2"/>
      <c r="BN145" s="2"/>
      <c r="BO145" s="2"/>
      <c r="BP145" s="2"/>
      <c r="BQ145" s="280"/>
      <c r="BR145" s="280"/>
      <c r="BS145" s="2"/>
      <c r="BT145" s="2"/>
      <c r="BU145" s="2"/>
      <c r="BV145" s="2"/>
      <c r="BW145" s="280"/>
      <c r="BX145" s="280"/>
      <c r="BY145" s="2"/>
      <c r="BZ145" s="2"/>
      <c r="CA145" s="2"/>
      <c r="CB145" s="2"/>
      <c r="CC145" s="280"/>
      <c r="CD145" s="280"/>
      <c r="CE145" s="2"/>
      <c r="CF145" s="2"/>
      <c r="CG145" s="2"/>
      <c r="CH145" s="2"/>
      <c r="CI145" s="280"/>
      <c r="CJ145" s="280"/>
      <c r="CK145" s="2"/>
      <c r="CL145" s="2"/>
      <c r="CM145" s="2"/>
      <c r="CN145" s="2"/>
      <c r="CO145" s="280"/>
      <c r="CP145" s="280"/>
      <c r="CQ145" s="2"/>
      <c r="CR145" s="2"/>
      <c r="CS145" s="2"/>
      <c r="CT145" s="2"/>
      <c r="CU145" s="280"/>
      <c r="CV145" s="280"/>
      <c r="CW145" s="2"/>
      <c r="CX145" s="2"/>
      <c r="CY145" s="2"/>
      <c r="CZ145" s="2"/>
      <c r="DA145" s="280"/>
      <c r="DB145" s="280"/>
      <c r="DC145" s="2"/>
      <c r="DD145" s="2"/>
      <c r="DE145" s="2"/>
      <c r="DF145" s="2"/>
      <c r="DG145" s="280"/>
      <c r="DH145" s="280"/>
      <c r="DI145" s="2"/>
      <c r="DJ145" s="2"/>
      <c r="DK145" s="2"/>
      <c r="DL145" s="2"/>
      <c r="DM145" s="280"/>
      <c r="DN145" s="280"/>
      <c r="DO145" s="2"/>
      <c r="DP145" s="2"/>
      <c r="DQ145" s="2"/>
      <c r="DR145" s="2"/>
    </row>
    <row r="146" spans="1:254" ht="12.9" customHeight="1" x14ac:dyDescent="0.2">
      <c r="A146" s="2"/>
      <c r="B146" s="2"/>
      <c r="C146" s="280"/>
      <c r="D146" s="280"/>
      <c r="E146" s="2"/>
      <c r="F146" s="2"/>
      <c r="G146" s="2"/>
      <c r="H146" s="2"/>
      <c r="I146" s="280"/>
      <c r="J146" s="280"/>
      <c r="K146" s="2"/>
      <c r="L146" s="2"/>
      <c r="M146" s="2"/>
      <c r="N146" s="2"/>
      <c r="O146" s="280"/>
      <c r="P146" s="280"/>
      <c r="Q146" s="2"/>
      <c r="R146" s="2"/>
      <c r="S146" s="2"/>
      <c r="T146" s="2"/>
      <c r="U146" s="280"/>
      <c r="V146" s="280"/>
      <c r="W146" s="2"/>
      <c r="X146" s="2"/>
      <c r="Y146" s="2"/>
      <c r="Z146" s="2"/>
      <c r="AA146" s="280"/>
      <c r="AB146" s="280"/>
      <c r="AC146" s="2"/>
      <c r="AD146" s="2"/>
      <c r="AE146" s="2"/>
      <c r="AF146" s="2"/>
      <c r="AG146" s="280"/>
      <c r="AH146" s="280"/>
      <c r="AI146" s="2"/>
      <c r="AJ146" s="2"/>
      <c r="AK146" s="2"/>
      <c r="AL146" s="2"/>
      <c r="AM146" s="280"/>
      <c r="AN146" s="280"/>
      <c r="AO146" s="2"/>
      <c r="AP146" s="2"/>
      <c r="AQ146" s="2"/>
      <c r="AR146" s="2"/>
      <c r="AS146" s="280"/>
      <c r="AT146" s="280"/>
      <c r="AU146" s="2"/>
      <c r="AV146" s="2"/>
      <c r="AW146" s="2"/>
      <c r="AX146" s="2"/>
      <c r="AY146" s="280"/>
      <c r="AZ146" s="280"/>
      <c r="BA146" s="2"/>
      <c r="BB146" s="2"/>
      <c r="BC146" s="2"/>
      <c r="BD146" s="2"/>
      <c r="BE146" s="280"/>
      <c r="BF146" s="280"/>
      <c r="BG146" s="2"/>
      <c r="BH146" s="2"/>
      <c r="BI146" s="2"/>
      <c r="BJ146" s="2"/>
      <c r="BK146" s="280"/>
      <c r="BL146" s="280"/>
      <c r="BM146" s="2"/>
      <c r="BN146" s="2"/>
      <c r="BO146" s="2"/>
      <c r="BP146" s="2"/>
      <c r="BQ146" s="280"/>
      <c r="BR146" s="280"/>
      <c r="BS146" s="2"/>
      <c r="BT146" s="2"/>
      <c r="BU146" s="2"/>
      <c r="BV146" s="2"/>
      <c r="BW146" s="280"/>
      <c r="BX146" s="280"/>
      <c r="BY146" s="2"/>
      <c r="BZ146" s="2"/>
      <c r="CA146" s="2"/>
      <c r="CB146" s="2"/>
      <c r="CC146" s="280"/>
      <c r="CD146" s="280"/>
      <c r="CE146" s="2"/>
      <c r="CF146" s="2"/>
      <c r="CG146" s="2"/>
      <c r="CH146" s="2"/>
      <c r="CI146" s="280"/>
      <c r="CJ146" s="280"/>
      <c r="CK146" s="2"/>
      <c r="CL146" s="2"/>
      <c r="CM146" s="2"/>
      <c r="CN146" s="2"/>
      <c r="CO146" s="280"/>
      <c r="CP146" s="280"/>
      <c r="CQ146" s="2"/>
      <c r="CR146" s="2"/>
      <c r="CS146" s="2"/>
      <c r="CT146" s="2"/>
      <c r="CU146" s="280"/>
      <c r="CV146" s="280"/>
      <c r="CW146" s="2"/>
      <c r="CX146" s="2"/>
      <c r="CY146" s="2"/>
      <c r="CZ146" s="2"/>
      <c r="DA146" s="280"/>
      <c r="DB146" s="280"/>
      <c r="DC146" s="2"/>
      <c r="DD146" s="2"/>
      <c r="DE146" s="2"/>
      <c r="DF146" s="2"/>
      <c r="DG146" s="280"/>
      <c r="DH146" s="280"/>
      <c r="DI146" s="2"/>
      <c r="DJ146" s="2"/>
      <c r="DK146" s="2"/>
      <c r="DL146" s="2"/>
      <c r="DM146" s="280"/>
      <c r="DN146" s="280"/>
      <c r="DO146" s="2"/>
      <c r="DP146" s="2"/>
      <c r="DQ146" s="2"/>
      <c r="DR146" s="2"/>
    </row>
    <row r="147" spans="1:254" ht="12.9" customHeight="1" x14ac:dyDescent="0.2">
      <c r="A147" s="2"/>
      <c r="B147" s="2"/>
      <c r="C147" s="280"/>
      <c r="D147" s="280"/>
      <c r="E147" s="2"/>
      <c r="F147" s="2"/>
      <c r="G147" s="2"/>
      <c r="H147" s="2"/>
      <c r="I147" s="280"/>
      <c r="J147" s="280"/>
      <c r="K147" s="2"/>
      <c r="L147" s="2"/>
      <c r="M147" s="2"/>
      <c r="N147" s="2"/>
      <c r="O147" s="280"/>
      <c r="P147" s="280"/>
      <c r="Q147" s="2"/>
      <c r="R147" s="2"/>
      <c r="S147" s="2"/>
      <c r="T147" s="2"/>
      <c r="U147" s="280"/>
      <c r="V147" s="280"/>
      <c r="W147" s="2"/>
      <c r="X147" s="2"/>
      <c r="Y147" s="2"/>
      <c r="Z147" s="2"/>
      <c r="AA147" s="280"/>
      <c r="AB147" s="280"/>
      <c r="AC147" s="2"/>
      <c r="AD147" s="2"/>
      <c r="AE147" s="2"/>
      <c r="AF147" s="2"/>
      <c r="AG147" s="280"/>
      <c r="AH147" s="280"/>
      <c r="AI147" s="2"/>
      <c r="AJ147" s="2"/>
      <c r="AK147" s="2"/>
      <c r="AL147" s="2"/>
      <c r="AM147" s="280"/>
      <c r="AN147" s="280"/>
      <c r="AO147" s="2"/>
      <c r="AP147" s="2"/>
      <c r="AQ147" s="2"/>
      <c r="AR147" s="2"/>
      <c r="AS147" s="280"/>
      <c r="AT147" s="280"/>
      <c r="AU147" s="2"/>
      <c r="AV147" s="2"/>
      <c r="AW147" s="2"/>
      <c r="AX147" s="2"/>
      <c r="AY147" s="280"/>
      <c r="AZ147" s="280"/>
      <c r="BA147" s="2"/>
      <c r="BB147" s="2"/>
      <c r="BC147" s="2"/>
      <c r="BD147" s="2"/>
      <c r="BE147" s="280"/>
      <c r="BF147" s="280"/>
      <c r="BG147" s="2"/>
      <c r="BH147" s="2"/>
      <c r="BI147" s="2"/>
      <c r="BJ147" s="2"/>
      <c r="BK147" s="280"/>
      <c r="BL147" s="280"/>
      <c r="BM147" s="2"/>
      <c r="BN147" s="2"/>
      <c r="BO147" s="2"/>
      <c r="BP147" s="2"/>
      <c r="BQ147" s="280"/>
      <c r="BR147" s="280"/>
      <c r="BS147" s="2"/>
      <c r="BT147" s="2"/>
      <c r="BU147" s="2"/>
      <c r="BV147" s="2"/>
      <c r="BW147" s="280"/>
      <c r="BX147" s="280"/>
      <c r="BY147" s="2"/>
      <c r="BZ147" s="2"/>
      <c r="CA147" s="2"/>
      <c r="CB147" s="2"/>
      <c r="CC147" s="280"/>
      <c r="CD147" s="280"/>
      <c r="CE147" s="2"/>
      <c r="CF147" s="2"/>
      <c r="CG147" s="2"/>
      <c r="CH147" s="2"/>
      <c r="CI147" s="280"/>
      <c r="CJ147" s="280"/>
      <c r="CK147" s="2"/>
      <c r="CL147" s="2"/>
      <c r="CM147" s="2"/>
      <c r="CN147" s="2"/>
      <c r="CO147" s="280"/>
      <c r="CP147" s="280"/>
      <c r="CQ147" s="2"/>
      <c r="CR147" s="2"/>
      <c r="CS147" s="2"/>
      <c r="CT147" s="2"/>
      <c r="CU147" s="280"/>
      <c r="CV147" s="280"/>
      <c r="CW147" s="2"/>
      <c r="CX147" s="2"/>
      <c r="CY147" s="2"/>
      <c r="CZ147" s="2"/>
      <c r="DA147" s="280"/>
      <c r="DB147" s="280"/>
      <c r="DC147" s="2"/>
      <c r="DD147" s="2"/>
      <c r="DE147" s="2"/>
      <c r="DF147" s="2"/>
      <c r="DG147" s="280"/>
      <c r="DH147" s="280"/>
      <c r="DI147" s="2"/>
      <c r="DJ147" s="2"/>
      <c r="DK147" s="2"/>
      <c r="DL147" s="2"/>
      <c r="DM147" s="280"/>
      <c r="DN147" s="280"/>
      <c r="DO147" s="2"/>
      <c r="DP147" s="2"/>
      <c r="DQ147" s="2"/>
      <c r="DR147" s="2"/>
    </row>
    <row r="148" spans="1:254" ht="12.9" customHeight="1" x14ac:dyDescent="0.2">
      <c r="A148" s="2"/>
      <c r="B148" s="2"/>
      <c r="C148" s="280"/>
      <c r="D148" s="280"/>
      <c r="E148" s="2"/>
      <c r="F148" s="2"/>
      <c r="G148" s="2"/>
      <c r="H148" s="2"/>
      <c r="I148" s="280"/>
      <c r="J148" s="280"/>
      <c r="K148" s="2"/>
      <c r="L148" s="2"/>
      <c r="M148" s="2"/>
      <c r="N148" s="2"/>
      <c r="O148" s="280"/>
      <c r="P148" s="280"/>
      <c r="Q148" s="2"/>
      <c r="R148" s="2"/>
      <c r="S148" s="2"/>
      <c r="T148" s="2"/>
      <c r="U148" s="280"/>
      <c r="V148" s="280"/>
      <c r="W148" s="2"/>
      <c r="X148" s="2"/>
      <c r="Y148" s="2"/>
      <c r="Z148" s="2"/>
      <c r="AA148" s="280"/>
      <c r="AB148" s="280"/>
      <c r="AC148" s="2"/>
      <c r="AD148" s="2"/>
      <c r="AE148" s="2"/>
      <c r="AF148" s="2"/>
      <c r="AG148" s="280"/>
      <c r="AH148" s="280"/>
      <c r="AI148" s="2"/>
      <c r="AJ148" s="2"/>
      <c r="AK148" s="2"/>
      <c r="AL148" s="2"/>
      <c r="AM148" s="280"/>
      <c r="AN148" s="280"/>
      <c r="AO148" s="2"/>
      <c r="AP148" s="2"/>
      <c r="AQ148" s="2"/>
      <c r="AR148" s="2"/>
      <c r="AS148" s="280"/>
      <c r="AT148" s="280"/>
      <c r="AU148" s="2"/>
      <c r="AV148" s="2"/>
      <c r="AW148" s="2"/>
      <c r="AX148" s="2"/>
      <c r="AY148" s="280"/>
      <c r="AZ148" s="280"/>
      <c r="BA148" s="2"/>
      <c r="BB148" s="2"/>
      <c r="BC148" s="2"/>
      <c r="BD148" s="2"/>
      <c r="BE148" s="280"/>
      <c r="BF148" s="280"/>
      <c r="BG148" s="2"/>
      <c r="BH148" s="2"/>
      <c r="BI148" s="2"/>
      <c r="BJ148" s="2"/>
      <c r="BK148" s="280"/>
      <c r="BL148" s="280"/>
      <c r="BM148" s="2"/>
      <c r="BN148" s="2"/>
      <c r="BO148" s="2"/>
      <c r="BP148" s="2"/>
      <c r="BQ148" s="280"/>
      <c r="BR148" s="280"/>
      <c r="BS148" s="2"/>
      <c r="BT148" s="2"/>
      <c r="BU148" s="2"/>
      <c r="BV148" s="2"/>
      <c r="BW148" s="280"/>
      <c r="BX148" s="280"/>
      <c r="BY148" s="2"/>
      <c r="BZ148" s="2"/>
      <c r="CA148" s="2"/>
      <c r="CB148" s="2"/>
      <c r="CC148" s="280"/>
      <c r="CD148" s="280"/>
      <c r="CE148" s="2"/>
      <c r="CF148" s="2"/>
      <c r="CG148" s="2"/>
      <c r="CH148" s="2"/>
      <c r="CI148" s="280"/>
      <c r="CJ148" s="280"/>
      <c r="CK148" s="2"/>
      <c r="CL148" s="2"/>
      <c r="CM148" s="2"/>
      <c r="CN148" s="2"/>
      <c r="CO148" s="280"/>
      <c r="CP148" s="280"/>
      <c r="CQ148" s="2"/>
      <c r="CR148" s="2"/>
      <c r="CS148" s="2"/>
      <c r="CT148" s="2"/>
      <c r="CU148" s="280"/>
      <c r="CV148" s="280"/>
      <c r="CW148" s="2"/>
      <c r="CX148" s="2"/>
      <c r="CY148" s="2"/>
      <c r="CZ148" s="2"/>
      <c r="DA148" s="280"/>
      <c r="DB148" s="280"/>
      <c r="DC148" s="2"/>
      <c r="DD148" s="2"/>
      <c r="DE148" s="2"/>
      <c r="DF148" s="2"/>
      <c r="DG148" s="280"/>
      <c r="DH148" s="280"/>
      <c r="DI148" s="2"/>
      <c r="DJ148" s="2"/>
      <c r="DK148" s="2"/>
      <c r="DL148" s="2"/>
      <c r="DM148" s="280"/>
      <c r="DN148" s="280"/>
      <c r="DO148" s="2"/>
      <c r="DP148" s="2"/>
      <c r="DQ148" s="2"/>
      <c r="DR148" s="2"/>
    </row>
    <row r="149" spans="1:254" ht="12.9" customHeight="1" x14ac:dyDescent="0.2">
      <c r="A149" s="2"/>
      <c r="B149" s="2"/>
      <c r="C149" s="280"/>
      <c r="D149" s="280"/>
      <c r="E149" s="2"/>
      <c r="F149" s="2"/>
      <c r="G149" s="2"/>
      <c r="H149" s="2"/>
      <c r="I149" s="280"/>
      <c r="J149" s="280"/>
      <c r="K149" s="2"/>
      <c r="L149" s="2"/>
      <c r="M149" s="2"/>
      <c r="N149" s="2"/>
      <c r="O149" s="280"/>
      <c r="P149" s="280"/>
      <c r="Q149" s="2"/>
      <c r="R149" s="2"/>
      <c r="S149" s="2"/>
      <c r="T149" s="2"/>
      <c r="U149" s="280"/>
      <c r="V149" s="280"/>
      <c r="W149" s="2"/>
      <c r="X149" s="2"/>
      <c r="Y149" s="2"/>
      <c r="Z149" s="2"/>
      <c r="AA149" s="280"/>
      <c r="AB149" s="280"/>
      <c r="AC149" s="2"/>
      <c r="AD149" s="2"/>
      <c r="AE149" s="2"/>
      <c r="AF149" s="2"/>
      <c r="AG149" s="280"/>
      <c r="AH149" s="280"/>
      <c r="AI149" s="2"/>
      <c r="AJ149" s="2"/>
      <c r="AK149" s="2"/>
      <c r="AL149" s="2"/>
      <c r="AM149" s="280"/>
      <c r="AN149" s="280"/>
      <c r="AO149" s="2"/>
      <c r="AP149" s="2"/>
      <c r="AQ149" s="2"/>
      <c r="AR149" s="2"/>
      <c r="AS149" s="280"/>
      <c r="AT149" s="280"/>
      <c r="AU149" s="2"/>
      <c r="AV149" s="2"/>
      <c r="AW149" s="2"/>
      <c r="AX149" s="2"/>
      <c r="AY149" s="280"/>
      <c r="AZ149" s="280"/>
      <c r="BA149" s="2"/>
      <c r="BB149" s="2"/>
      <c r="BC149" s="2"/>
      <c r="BD149" s="2"/>
      <c r="BE149" s="280"/>
      <c r="BF149" s="280"/>
      <c r="BG149" s="2"/>
      <c r="BH149" s="2"/>
      <c r="BI149" s="2"/>
      <c r="BJ149" s="2"/>
      <c r="BK149" s="280"/>
      <c r="BL149" s="280"/>
      <c r="BM149" s="2"/>
      <c r="BN149" s="2"/>
      <c r="BO149" s="2"/>
      <c r="BP149" s="2"/>
      <c r="BQ149" s="280"/>
      <c r="BR149" s="280"/>
      <c r="BS149" s="2"/>
      <c r="BT149" s="2"/>
      <c r="BU149" s="2"/>
      <c r="BV149" s="2"/>
      <c r="BW149" s="280"/>
      <c r="BX149" s="280"/>
      <c r="BY149" s="2"/>
      <c r="BZ149" s="2"/>
      <c r="CA149" s="2"/>
      <c r="CB149" s="2"/>
      <c r="CC149" s="280"/>
      <c r="CD149" s="280"/>
      <c r="CE149" s="2"/>
      <c r="CF149" s="2"/>
      <c r="CG149" s="2"/>
      <c r="CH149" s="2"/>
      <c r="CI149" s="280"/>
      <c r="CJ149" s="280"/>
      <c r="CK149" s="2"/>
      <c r="CL149" s="2"/>
      <c r="CM149" s="2"/>
      <c r="CN149" s="2"/>
      <c r="CO149" s="280"/>
      <c r="CP149" s="280"/>
      <c r="CQ149" s="2"/>
      <c r="CR149" s="2"/>
      <c r="CS149" s="2"/>
      <c r="CT149" s="2"/>
      <c r="CU149" s="280"/>
      <c r="CV149" s="280"/>
      <c r="CW149" s="2"/>
      <c r="CX149" s="2"/>
      <c r="CY149" s="2"/>
      <c r="CZ149" s="2"/>
      <c r="DA149" s="280"/>
      <c r="DB149" s="280"/>
      <c r="DC149" s="2"/>
      <c r="DD149" s="2"/>
      <c r="DE149" s="2"/>
      <c r="DF149" s="2"/>
      <c r="DG149" s="280"/>
      <c r="DH149" s="280"/>
      <c r="DI149" s="2"/>
      <c r="DJ149" s="2"/>
      <c r="DK149" s="2"/>
      <c r="DL149" s="2"/>
      <c r="DM149" s="280"/>
      <c r="DN149" s="280"/>
      <c r="DO149" s="2"/>
      <c r="DP149" s="2"/>
      <c r="DQ149" s="2"/>
      <c r="DR149" s="2"/>
    </row>
    <row r="151" spans="1:254" ht="12.9" customHeight="1" x14ac:dyDescent="0.2">
      <c r="A151" s="509" t="s">
        <v>2012</v>
      </c>
      <c r="B151" s="494"/>
      <c r="C151" s="675" t="str">
        <f>+C1</f>
        <v>Seventh</v>
      </c>
      <c r="D151" s="676"/>
      <c r="E151" s="676"/>
      <c r="F151" s="676"/>
      <c r="G151" s="676"/>
      <c r="H151" s="677"/>
      <c r="I151" s="675" t="str">
        <f>+I1</f>
        <v>Eighth</v>
      </c>
      <c r="J151" s="676"/>
      <c r="K151" s="676"/>
      <c r="L151" s="676"/>
      <c r="M151" s="676"/>
      <c r="N151" s="677"/>
      <c r="O151" s="675" t="str">
        <f>+O1</f>
        <v>Ninth</v>
      </c>
      <c r="P151" s="676"/>
      <c r="Q151" s="676"/>
      <c r="R151" s="676"/>
      <c r="S151" s="676"/>
      <c r="T151" s="677"/>
      <c r="U151" s="675" t="str">
        <f>+U1</f>
        <v>Tenth</v>
      </c>
      <c r="V151" s="676"/>
      <c r="W151" s="676"/>
      <c r="X151" s="676"/>
      <c r="Y151" s="676"/>
      <c r="Z151" s="677"/>
      <c r="AA151" s="675" t="str">
        <f>+AA1</f>
        <v>Eleventh</v>
      </c>
      <c r="AB151" s="676"/>
      <c r="AC151" s="676"/>
      <c r="AD151" s="676"/>
      <c r="AE151" s="676"/>
      <c r="AF151" s="677"/>
      <c r="AG151" s="675" t="str">
        <f>+AG1</f>
        <v>Twelfth</v>
      </c>
      <c r="AH151" s="676"/>
      <c r="AI151" s="676"/>
      <c r="AJ151" s="676"/>
      <c r="AK151" s="676"/>
      <c r="AL151" s="677"/>
      <c r="AM151" s="675" t="str">
        <f>+AM1</f>
        <v>Thirteenth</v>
      </c>
      <c r="AN151" s="676"/>
      <c r="AO151" s="676"/>
      <c r="AP151" s="676"/>
      <c r="AQ151" s="676"/>
      <c r="AR151" s="677"/>
      <c r="AS151" s="675" t="str">
        <f>+AS1</f>
        <v>Fourteenth</v>
      </c>
      <c r="AT151" s="676"/>
      <c r="AU151" s="676"/>
      <c r="AV151" s="676"/>
      <c r="AW151" s="676"/>
      <c r="AX151" s="677"/>
      <c r="AY151" s="675" t="str">
        <f>+AY1</f>
        <v>Fifteenth</v>
      </c>
      <c r="AZ151" s="676"/>
      <c r="BA151" s="676"/>
      <c r="BB151" s="676"/>
      <c r="BC151" s="676"/>
      <c r="BD151" s="677"/>
      <c r="BE151" s="675" t="str">
        <f>+BE1</f>
        <v>Sixteenth</v>
      </c>
      <c r="BF151" s="676"/>
      <c r="BG151" s="676"/>
      <c r="BH151" s="676"/>
      <c r="BI151" s="676"/>
      <c r="BJ151" s="677"/>
      <c r="BK151" s="675" t="str">
        <f>+BK1</f>
        <v>Seventeenth</v>
      </c>
      <c r="BL151" s="676"/>
      <c r="BM151" s="676"/>
      <c r="BN151" s="676"/>
      <c r="BO151" s="676"/>
      <c r="BP151" s="677"/>
      <c r="BQ151" s="675" t="str">
        <f>+BQ1</f>
        <v>Eighteenth</v>
      </c>
      <c r="BR151" s="676"/>
      <c r="BS151" s="676"/>
      <c r="BT151" s="676"/>
      <c r="BU151" s="676"/>
      <c r="BV151" s="677"/>
      <c r="BW151" s="675" t="str">
        <f>+BW1</f>
        <v>Nineteenth</v>
      </c>
      <c r="BX151" s="676"/>
      <c r="BY151" s="676"/>
      <c r="BZ151" s="676"/>
      <c r="CA151" s="676"/>
      <c r="CB151" s="677"/>
      <c r="CC151" s="675" t="str">
        <f>+CC1</f>
        <v>Twentieth</v>
      </c>
      <c r="CD151" s="676"/>
      <c r="CE151" s="676"/>
      <c r="CF151" s="676"/>
      <c r="CG151" s="676"/>
      <c r="CH151" s="677"/>
      <c r="CI151" s="675" t="str">
        <f>+CI1</f>
        <v>Twenty-first</v>
      </c>
      <c r="CJ151" s="676"/>
      <c r="CK151" s="676"/>
      <c r="CL151" s="676"/>
      <c r="CM151" s="676"/>
      <c r="CN151" s="677"/>
      <c r="CO151" s="675" t="str">
        <f>+CO1</f>
        <v>Twenty-second</v>
      </c>
      <c r="CP151" s="676"/>
      <c r="CQ151" s="676"/>
      <c r="CR151" s="676"/>
      <c r="CS151" s="676"/>
      <c r="CT151" s="677"/>
      <c r="CU151" s="675" t="s">
        <v>4301</v>
      </c>
      <c r="CV151" s="676"/>
      <c r="CW151" s="676"/>
      <c r="CX151" s="676"/>
      <c r="CY151" s="676"/>
      <c r="CZ151" s="677"/>
      <c r="DA151" s="675" t="s">
        <v>4302</v>
      </c>
      <c r="DB151" s="676"/>
      <c r="DC151" s="676"/>
      <c r="DD151" s="676"/>
      <c r="DE151" s="676"/>
      <c r="DF151" s="677"/>
      <c r="DG151" s="675" t="s">
        <v>4303</v>
      </c>
      <c r="DH151" s="676"/>
      <c r="DI151" s="676"/>
      <c r="DJ151" s="676"/>
      <c r="DK151" s="676"/>
      <c r="DL151" s="677"/>
      <c r="DM151" s="675" t="s">
        <v>4304</v>
      </c>
      <c r="DN151" s="676"/>
      <c r="DO151" s="676"/>
      <c r="DP151" s="676"/>
      <c r="DQ151" s="676"/>
      <c r="DR151" s="677"/>
      <c r="DS151" s="675" t="s">
        <v>4305</v>
      </c>
      <c r="DT151" s="676"/>
      <c r="DU151" s="676"/>
      <c r="DV151" s="676"/>
      <c r="DW151" s="676"/>
      <c r="DX151" s="677"/>
      <c r="DY151" s="675" t="s">
        <v>4306</v>
      </c>
      <c r="DZ151" s="676"/>
      <c r="EA151" s="676"/>
      <c r="EB151" s="676"/>
      <c r="EC151" s="676"/>
      <c r="ED151" s="677"/>
      <c r="EE151" s="675" t="s">
        <v>4307</v>
      </c>
      <c r="EF151" s="676"/>
      <c r="EG151" s="676"/>
      <c r="EH151" s="676"/>
      <c r="EI151" s="676"/>
      <c r="EJ151" s="677"/>
      <c r="EK151" s="675" t="s">
        <v>4781</v>
      </c>
      <c r="EL151" s="676"/>
      <c r="EM151" s="676"/>
      <c r="EN151" s="676"/>
      <c r="EO151" s="676"/>
      <c r="EP151" s="677"/>
      <c r="EQ151" s="675" t="s">
        <v>4782</v>
      </c>
      <c r="ER151" s="676"/>
      <c r="ES151" s="676"/>
      <c r="ET151" s="676"/>
      <c r="EU151" s="676"/>
      <c r="EV151" s="677"/>
      <c r="EW151" s="675" t="s">
        <v>4783</v>
      </c>
      <c r="EX151" s="676"/>
      <c r="EY151" s="676"/>
      <c r="EZ151" s="676"/>
      <c r="FA151" s="676"/>
      <c r="FB151" s="677"/>
      <c r="FC151" s="675" t="s">
        <v>4784</v>
      </c>
      <c r="FD151" s="676"/>
      <c r="FE151" s="676"/>
      <c r="FF151" s="676"/>
      <c r="FG151" s="676"/>
      <c r="FH151" s="677"/>
      <c r="FI151" s="675" t="s">
        <v>4785</v>
      </c>
      <c r="FJ151" s="676"/>
      <c r="FK151" s="676"/>
      <c r="FL151" s="676"/>
      <c r="FM151" s="676"/>
      <c r="FN151" s="677"/>
      <c r="FO151" s="675" t="s">
        <v>4787</v>
      </c>
      <c r="FP151" s="676"/>
      <c r="FQ151" s="676"/>
      <c r="FR151" s="676"/>
      <c r="FS151" s="676"/>
      <c r="FT151" s="677"/>
      <c r="FU151" s="675" t="s">
        <v>4786</v>
      </c>
      <c r="FV151" s="676"/>
      <c r="FW151" s="676"/>
      <c r="FX151" s="676"/>
      <c r="FY151" s="676"/>
      <c r="FZ151" s="677"/>
      <c r="GA151" s="675" t="s">
        <v>4788</v>
      </c>
      <c r="GB151" s="676"/>
      <c r="GC151" s="676"/>
      <c r="GD151" s="676"/>
      <c r="GE151" s="676"/>
      <c r="GF151" s="677"/>
      <c r="GG151" s="675" t="s">
        <v>4789</v>
      </c>
      <c r="GH151" s="676"/>
      <c r="GI151" s="676"/>
      <c r="GJ151" s="676"/>
      <c r="GK151" s="676"/>
      <c r="GL151" s="677"/>
      <c r="GM151" s="675" t="s">
        <v>4790</v>
      </c>
      <c r="GN151" s="676"/>
      <c r="GO151" s="676"/>
      <c r="GP151" s="676"/>
      <c r="GQ151" s="676"/>
      <c r="GR151" s="677"/>
      <c r="GS151" s="675" t="s">
        <v>4791</v>
      </c>
      <c r="GT151" s="676"/>
      <c r="GU151" s="676"/>
      <c r="GV151" s="676"/>
      <c r="GW151" s="676"/>
      <c r="GX151" s="677"/>
      <c r="GY151" s="675" t="s">
        <v>4799</v>
      </c>
      <c r="GZ151" s="676"/>
      <c r="HA151" s="676"/>
      <c r="HB151" s="676"/>
      <c r="HC151" s="676"/>
      <c r="HD151" s="677"/>
      <c r="HE151" s="675" t="s">
        <v>4792</v>
      </c>
      <c r="HF151" s="676"/>
      <c r="HG151" s="676"/>
      <c r="HH151" s="676"/>
      <c r="HI151" s="676"/>
      <c r="HJ151" s="677"/>
      <c r="HK151" s="675" t="s">
        <v>4793</v>
      </c>
      <c r="HL151" s="676"/>
      <c r="HM151" s="676"/>
      <c r="HN151" s="676"/>
      <c r="HO151" s="676"/>
      <c r="HP151" s="677"/>
      <c r="HQ151" s="675" t="s">
        <v>4794</v>
      </c>
      <c r="HR151" s="676"/>
      <c r="HS151" s="676"/>
      <c r="HT151" s="676"/>
      <c r="HU151" s="676"/>
      <c r="HV151" s="677"/>
      <c r="HW151" s="675" t="s">
        <v>4795</v>
      </c>
      <c r="HX151" s="676"/>
      <c r="HY151" s="676"/>
      <c r="HZ151" s="676"/>
      <c r="IA151" s="676"/>
      <c r="IB151" s="677"/>
      <c r="IC151" s="675" t="s">
        <v>4796</v>
      </c>
      <c r="ID151" s="676"/>
      <c r="IE151" s="676"/>
      <c r="IF151" s="676"/>
      <c r="IG151" s="676"/>
      <c r="IH151" s="677"/>
      <c r="II151" s="675" t="s">
        <v>4797</v>
      </c>
      <c r="IJ151" s="676"/>
      <c r="IK151" s="676"/>
      <c r="IL151" s="676"/>
      <c r="IM151" s="676"/>
      <c r="IN151" s="677"/>
      <c r="IO151" s="675" t="s">
        <v>4798</v>
      </c>
      <c r="IP151" s="676"/>
      <c r="IQ151" s="676"/>
      <c r="IR151" s="676"/>
      <c r="IS151" s="676"/>
      <c r="IT151" s="677"/>
    </row>
    <row r="152" spans="1:254" ht="12.9" customHeight="1" x14ac:dyDescent="0.2">
      <c r="A152" s="496"/>
      <c r="B152" s="9"/>
      <c r="C152" s="516" t="s">
        <v>274</v>
      </c>
      <c r="D152" s="498"/>
      <c r="E152" s="4" t="s">
        <v>2017</v>
      </c>
      <c r="F152" s="4" t="s">
        <v>2018</v>
      </c>
      <c r="G152" s="4" t="s">
        <v>2019</v>
      </c>
      <c r="H152" s="5" t="s">
        <v>2020</v>
      </c>
      <c r="I152" s="497"/>
      <c r="J152" s="498"/>
      <c r="K152" s="4" t="s">
        <v>2017</v>
      </c>
      <c r="L152" s="4" t="s">
        <v>2018</v>
      </c>
      <c r="M152" s="4" t="s">
        <v>2019</v>
      </c>
      <c r="N152" s="5" t="s">
        <v>2020</v>
      </c>
      <c r="O152" s="497"/>
      <c r="P152" s="498"/>
      <c r="Q152" s="4" t="s">
        <v>2017</v>
      </c>
      <c r="R152" s="4" t="s">
        <v>2018</v>
      </c>
      <c r="S152" s="4" t="s">
        <v>2019</v>
      </c>
      <c r="T152" s="5" t="s">
        <v>2020</v>
      </c>
      <c r="U152" s="516" t="str">
        <f>+C152</f>
        <v>PRELIMS COMBINED</v>
      </c>
      <c r="V152" s="498"/>
      <c r="W152" s="4" t="s">
        <v>2017</v>
      </c>
      <c r="X152" s="4" t="s">
        <v>2018</v>
      </c>
      <c r="Y152" s="4" t="s">
        <v>2019</v>
      </c>
      <c r="Z152" s="5" t="s">
        <v>2020</v>
      </c>
      <c r="AA152" s="497"/>
      <c r="AB152" s="498"/>
      <c r="AC152" s="4" t="s">
        <v>2017</v>
      </c>
      <c r="AD152" s="4" t="s">
        <v>2018</v>
      </c>
      <c r="AE152" s="4" t="s">
        <v>2019</v>
      </c>
      <c r="AF152" s="5" t="s">
        <v>2020</v>
      </c>
      <c r="AG152" s="497"/>
      <c r="AH152" s="498"/>
      <c r="AI152" s="4" t="s">
        <v>2017</v>
      </c>
      <c r="AJ152" s="4" t="s">
        <v>2018</v>
      </c>
      <c r="AK152" s="4" t="s">
        <v>2019</v>
      </c>
      <c r="AL152" s="5" t="s">
        <v>2020</v>
      </c>
      <c r="AM152" s="516" t="str">
        <f>+U152</f>
        <v>PRELIMS COMBINED</v>
      </c>
      <c r="AN152" s="498"/>
      <c r="AO152" s="4" t="s">
        <v>2017</v>
      </c>
      <c r="AP152" s="4" t="s">
        <v>2018</v>
      </c>
      <c r="AQ152" s="4" t="s">
        <v>2019</v>
      </c>
      <c r="AR152" s="5" t="s">
        <v>2020</v>
      </c>
      <c r="AS152" s="497"/>
      <c r="AT152" s="498"/>
      <c r="AU152" s="4" t="s">
        <v>2017</v>
      </c>
      <c r="AV152" s="4" t="s">
        <v>2018</v>
      </c>
      <c r="AW152" s="4" t="s">
        <v>2019</v>
      </c>
      <c r="AX152" s="5" t="s">
        <v>2020</v>
      </c>
      <c r="AY152" s="497"/>
      <c r="AZ152" s="498"/>
      <c r="BA152" s="4" t="s">
        <v>2017</v>
      </c>
      <c r="BB152" s="4" t="s">
        <v>2018</v>
      </c>
      <c r="BC152" s="4" t="s">
        <v>2019</v>
      </c>
      <c r="BD152" s="5" t="s">
        <v>2020</v>
      </c>
      <c r="BE152" s="516" t="str">
        <f>+AM152</f>
        <v>PRELIMS COMBINED</v>
      </c>
      <c r="BF152" s="498"/>
      <c r="BG152" s="4" t="s">
        <v>2017</v>
      </c>
      <c r="BH152" s="4" t="s">
        <v>2018</v>
      </c>
      <c r="BI152" s="4" t="s">
        <v>2019</v>
      </c>
      <c r="BJ152" s="5" t="s">
        <v>2020</v>
      </c>
      <c r="BK152" s="497"/>
      <c r="BL152" s="498"/>
      <c r="BM152" s="4" t="s">
        <v>2017</v>
      </c>
      <c r="BN152" s="4" t="s">
        <v>2018</v>
      </c>
      <c r="BO152" s="4" t="s">
        <v>2019</v>
      </c>
      <c r="BP152" s="5" t="s">
        <v>2020</v>
      </c>
      <c r="BQ152" s="497"/>
      <c r="BR152" s="498"/>
      <c r="BS152" s="4" t="s">
        <v>2017</v>
      </c>
      <c r="BT152" s="4" t="s">
        <v>2018</v>
      </c>
      <c r="BU152" s="4" t="s">
        <v>2019</v>
      </c>
      <c r="BV152" s="5" t="s">
        <v>2020</v>
      </c>
      <c r="BW152" s="516" t="str">
        <f>+BE152</f>
        <v>PRELIMS COMBINED</v>
      </c>
      <c r="BX152" s="498"/>
      <c r="BY152" s="4" t="s">
        <v>2017</v>
      </c>
      <c r="BZ152" s="4" t="s">
        <v>2018</v>
      </c>
      <c r="CA152" s="4" t="s">
        <v>2019</v>
      </c>
      <c r="CB152" s="5" t="s">
        <v>2020</v>
      </c>
      <c r="CC152" s="516"/>
      <c r="CD152" s="498"/>
      <c r="CE152" s="4" t="s">
        <v>2017</v>
      </c>
      <c r="CF152" s="4" t="s">
        <v>2018</v>
      </c>
      <c r="CG152" s="4" t="s">
        <v>2019</v>
      </c>
      <c r="CH152" s="5" t="s">
        <v>2020</v>
      </c>
      <c r="CI152" s="497"/>
      <c r="CJ152" s="498"/>
      <c r="CK152" s="4" t="s">
        <v>2017</v>
      </c>
      <c r="CL152" s="4" t="s">
        <v>2018</v>
      </c>
      <c r="CM152" s="4" t="s">
        <v>2019</v>
      </c>
      <c r="CN152" s="5" t="s">
        <v>2020</v>
      </c>
      <c r="CO152" s="516" t="str">
        <f>+BW152</f>
        <v>PRELIMS COMBINED</v>
      </c>
      <c r="CP152" s="498"/>
      <c r="CQ152" s="4" t="s">
        <v>2017</v>
      </c>
      <c r="CR152" s="4" t="s">
        <v>2018</v>
      </c>
      <c r="CS152" s="4" t="s">
        <v>2019</v>
      </c>
      <c r="CT152" s="5" t="s">
        <v>2020</v>
      </c>
      <c r="CU152" s="497"/>
      <c r="CV152" s="498"/>
      <c r="CW152" s="4" t="s">
        <v>2017</v>
      </c>
      <c r="CX152" s="4" t="s">
        <v>2018</v>
      </c>
      <c r="CY152" s="4" t="s">
        <v>2019</v>
      </c>
      <c r="CZ152" s="5" t="s">
        <v>2020</v>
      </c>
      <c r="DA152" s="497"/>
      <c r="DB152" s="498"/>
      <c r="DC152" s="4" t="s">
        <v>2017</v>
      </c>
      <c r="DD152" s="4" t="s">
        <v>2018</v>
      </c>
      <c r="DE152" s="4" t="s">
        <v>2019</v>
      </c>
      <c r="DF152" s="5" t="s">
        <v>2020</v>
      </c>
      <c r="DG152" s="516" t="str">
        <f>+CO152</f>
        <v>PRELIMS COMBINED</v>
      </c>
      <c r="DH152" s="498"/>
      <c r="DI152" s="4" t="s">
        <v>2017</v>
      </c>
      <c r="DJ152" s="4" t="s">
        <v>2018</v>
      </c>
      <c r="DK152" s="4" t="s">
        <v>2019</v>
      </c>
      <c r="DL152" s="5" t="s">
        <v>2020</v>
      </c>
      <c r="DM152" s="497"/>
      <c r="DN152" s="498"/>
      <c r="DO152" s="4" t="s">
        <v>2017</v>
      </c>
      <c r="DP152" s="4" t="s">
        <v>2018</v>
      </c>
      <c r="DQ152" s="4" t="s">
        <v>2019</v>
      </c>
      <c r="DR152" s="5" t="s">
        <v>2020</v>
      </c>
      <c r="DS152" s="497"/>
      <c r="DT152" s="498"/>
      <c r="DU152" s="4" t="s">
        <v>2017</v>
      </c>
      <c r="DV152" s="4" t="s">
        <v>2018</v>
      </c>
      <c r="DW152" s="4" t="s">
        <v>2019</v>
      </c>
      <c r="DX152" s="5" t="s">
        <v>2020</v>
      </c>
      <c r="DY152" s="516" t="str">
        <f>+DG152</f>
        <v>PRELIMS COMBINED</v>
      </c>
      <c r="DZ152" s="498"/>
      <c r="EA152" s="4" t="s">
        <v>2017</v>
      </c>
      <c r="EB152" s="4" t="s">
        <v>2018</v>
      </c>
      <c r="EC152" s="4" t="s">
        <v>2019</v>
      </c>
      <c r="ED152" s="5" t="s">
        <v>2020</v>
      </c>
      <c r="EE152" s="497"/>
      <c r="EF152" s="498"/>
      <c r="EG152" s="4" t="s">
        <v>2017</v>
      </c>
      <c r="EH152" s="4" t="s">
        <v>2018</v>
      </c>
      <c r="EI152" s="4" t="s">
        <v>2019</v>
      </c>
      <c r="EJ152" s="5" t="s">
        <v>2020</v>
      </c>
      <c r="EK152" s="497"/>
      <c r="EL152" s="498"/>
      <c r="EM152" s="4" t="s">
        <v>2017</v>
      </c>
      <c r="EN152" s="4" t="s">
        <v>2018</v>
      </c>
      <c r="EO152" s="4" t="s">
        <v>2019</v>
      </c>
      <c r="EP152" s="5" t="s">
        <v>2020</v>
      </c>
      <c r="EQ152" s="516" t="str">
        <f>+DY152</f>
        <v>PRELIMS COMBINED</v>
      </c>
      <c r="ER152" s="498"/>
      <c r="ES152" s="4" t="s">
        <v>2017</v>
      </c>
      <c r="ET152" s="4" t="s">
        <v>2018</v>
      </c>
      <c r="EU152" s="4" t="s">
        <v>2019</v>
      </c>
      <c r="EV152" s="5" t="s">
        <v>2020</v>
      </c>
      <c r="EW152" s="497"/>
      <c r="EX152" s="498"/>
      <c r="EY152" s="4" t="s">
        <v>2017</v>
      </c>
      <c r="EZ152" s="4" t="s">
        <v>2018</v>
      </c>
      <c r="FA152" s="4" t="s">
        <v>2019</v>
      </c>
      <c r="FB152" s="5" t="s">
        <v>2020</v>
      </c>
      <c r="FC152" s="497"/>
      <c r="FD152" s="498"/>
      <c r="FE152" s="4" t="s">
        <v>2017</v>
      </c>
      <c r="FF152" s="4" t="s">
        <v>2018</v>
      </c>
      <c r="FG152" s="4" t="s">
        <v>2019</v>
      </c>
      <c r="FH152" s="5" t="s">
        <v>2020</v>
      </c>
      <c r="FI152" s="516" t="str">
        <f>+EQ152</f>
        <v>PRELIMS COMBINED</v>
      </c>
      <c r="FJ152" s="498"/>
      <c r="FK152" s="4" t="s">
        <v>2017</v>
      </c>
      <c r="FL152" s="4" t="s">
        <v>2018</v>
      </c>
      <c r="FM152" s="4" t="s">
        <v>2019</v>
      </c>
      <c r="FN152" s="5" t="s">
        <v>2020</v>
      </c>
      <c r="FO152" s="497"/>
      <c r="FP152" s="498"/>
      <c r="FQ152" s="4" t="s">
        <v>2017</v>
      </c>
      <c r="FR152" s="4" t="s">
        <v>2018</v>
      </c>
      <c r="FS152" s="4" t="s">
        <v>2019</v>
      </c>
      <c r="FT152" s="5" t="s">
        <v>2020</v>
      </c>
      <c r="FU152" s="497"/>
      <c r="FV152" s="498"/>
      <c r="FW152" s="4" t="s">
        <v>2017</v>
      </c>
      <c r="FX152" s="4" t="s">
        <v>2018</v>
      </c>
      <c r="FY152" s="4" t="s">
        <v>2019</v>
      </c>
      <c r="FZ152" s="5" t="s">
        <v>2020</v>
      </c>
      <c r="GA152" s="516" t="str">
        <f>+FI152</f>
        <v>PRELIMS COMBINED</v>
      </c>
      <c r="GB152" s="498"/>
      <c r="GC152" s="4" t="s">
        <v>2017</v>
      </c>
      <c r="GD152" s="4" t="s">
        <v>2018</v>
      </c>
      <c r="GE152" s="4" t="s">
        <v>2019</v>
      </c>
      <c r="GF152" s="5" t="s">
        <v>2020</v>
      </c>
      <c r="GG152" s="497"/>
      <c r="GH152" s="498"/>
      <c r="GI152" s="4" t="s">
        <v>2017</v>
      </c>
      <c r="GJ152" s="4" t="s">
        <v>2018</v>
      </c>
      <c r="GK152" s="4" t="s">
        <v>2019</v>
      </c>
      <c r="GL152" s="5" t="s">
        <v>2020</v>
      </c>
      <c r="GM152" s="497"/>
      <c r="GN152" s="498"/>
      <c r="GO152" s="4" t="s">
        <v>2017</v>
      </c>
      <c r="GP152" s="4" t="s">
        <v>2018</v>
      </c>
      <c r="GQ152" s="4" t="s">
        <v>2019</v>
      </c>
      <c r="GR152" s="5" t="s">
        <v>2020</v>
      </c>
      <c r="GS152" s="516" t="str">
        <f>+GA152</f>
        <v>PRELIMS COMBINED</v>
      </c>
      <c r="GT152" s="498"/>
      <c r="GU152" s="4" t="s">
        <v>2017</v>
      </c>
      <c r="GV152" s="4" t="s">
        <v>2018</v>
      </c>
      <c r="GW152" s="4" t="s">
        <v>2019</v>
      </c>
      <c r="GX152" s="5" t="s">
        <v>2020</v>
      </c>
      <c r="GY152" s="497"/>
      <c r="GZ152" s="498"/>
      <c r="HA152" s="4" t="s">
        <v>2017</v>
      </c>
      <c r="HB152" s="4" t="s">
        <v>2018</v>
      </c>
      <c r="HC152" s="4" t="s">
        <v>2019</v>
      </c>
      <c r="HD152" s="5" t="s">
        <v>2020</v>
      </c>
      <c r="HE152" s="497"/>
      <c r="HF152" s="498"/>
      <c r="HG152" s="4" t="s">
        <v>2017</v>
      </c>
      <c r="HH152" s="4" t="s">
        <v>2018</v>
      </c>
      <c r="HI152" s="4" t="s">
        <v>2019</v>
      </c>
      <c r="HJ152" s="5" t="s">
        <v>2020</v>
      </c>
      <c r="HK152" s="516" t="str">
        <f>+GS152</f>
        <v>PRELIMS COMBINED</v>
      </c>
      <c r="HL152" s="498"/>
      <c r="HM152" s="4" t="s">
        <v>2017</v>
      </c>
      <c r="HN152" s="4" t="s">
        <v>2018</v>
      </c>
      <c r="HO152" s="4" t="s">
        <v>2019</v>
      </c>
      <c r="HP152" s="5" t="s">
        <v>2020</v>
      </c>
      <c r="HQ152" s="497"/>
      <c r="HR152" s="498"/>
      <c r="HS152" s="4" t="s">
        <v>2017</v>
      </c>
      <c r="HT152" s="4" t="s">
        <v>2018</v>
      </c>
      <c r="HU152" s="4" t="s">
        <v>2019</v>
      </c>
      <c r="HV152" s="5" t="s">
        <v>2020</v>
      </c>
      <c r="HW152" s="497"/>
      <c r="HX152" s="498"/>
      <c r="HY152" s="4" t="s">
        <v>2017</v>
      </c>
      <c r="HZ152" s="4" t="s">
        <v>2018</v>
      </c>
      <c r="IA152" s="4" t="s">
        <v>2019</v>
      </c>
      <c r="IB152" s="5" t="s">
        <v>2020</v>
      </c>
      <c r="IC152" s="516" t="str">
        <f>+HK152</f>
        <v>PRELIMS COMBINED</v>
      </c>
      <c r="ID152" s="498"/>
      <c r="IE152" s="4" t="s">
        <v>2017</v>
      </c>
      <c r="IF152" s="4" t="s">
        <v>2018</v>
      </c>
      <c r="IG152" s="4" t="s">
        <v>2019</v>
      </c>
      <c r="IH152" s="5" t="s">
        <v>2020</v>
      </c>
      <c r="II152" s="497"/>
      <c r="IJ152" s="498"/>
      <c r="IK152" s="4" t="s">
        <v>2017</v>
      </c>
      <c r="IL152" s="4" t="s">
        <v>2018</v>
      </c>
      <c r="IM152" s="4" t="s">
        <v>2019</v>
      </c>
      <c r="IN152" s="5" t="s">
        <v>2020</v>
      </c>
      <c r="IO152" s="497"/>
      <c r="IP152" s="498"/>
      <c r="IQ152" s="4" t="s">
        <v>2017</v>
      </c>
      <c r="IR152" s="4" t="s">
        <v>2018</v>
      </c>
      <c r="IS152" s="4" t="s">
        <v>2019</v>
      </c>
      <c r="IT152" s="5" t="s">
        <v>2020</v>
      </c>
    </row>
    <row r="153" spans="1:254" ht="12.9" customHeight="1" x14ac:dyDescent="0.2">
      <c r="A153" s="517" t="str">
        <f>+'Past Quartets 1st - 3rd Place'!A163</f>
        <v>1994 P</v>
      </c>
      <c r="B153" s="517">
        <f>+'Past Quartets 1st - 3rd Place'!B163</f>
        <v>30</v>
      </c>
      <c r="C153" s="405" t="s">
        <v>281</v>
      </c>
      <c r="D153" s="197" t="s">
        <v>28</v>
      </c>
      <c r="E153" s="2" t="s">
        <v>802</v>
      </c>
      <c r="F153" s="2" t="s">
        <v>1851</v>
      </c>
      <c r="G153" s="2" t="s">
        <v>1852</v>
      </c>
      <c r="H153" s="3" t="s">
        <v>1853</v>
      </c>
      <c r="I153" s="499" t="s">
        <v>163</v>
      </c>
      <c r="J153" s="197" t="s">
        <v>164</v>
      </c>
      <c r="K153" s="1" t="s">
        <v>165</v>
      </c>
      <c r="L153" s="1" t="s">
        <v>166</v>
      </c>
      <c r="M153" s="1" t="s">
        <v>167</v>
      </c>
      <c r="N153" s="1" t="s">
        <v>168</v>
      </c>
      <c r="O153" s="405" t="s">
        <v>269</v>
      </c>
      <c r="P153" s="197" t="s">
        <v>4079</v>
      </c>
      <c r="Q153" s="2" t="s">
        <v>254</v>
      </c>
      <c r="R153" s="2" t="s">
        <v>4081</v>
      </c>
      <c r="S153" s="2" t="s">
        <v>270</v>
      </c>
      <c r="T153" s="404" t="s">
        <v>4080</v>
      </c>
      <c r="U153" s="499" t="s">
        <v>3100</v>
      </c>
      <c r="V153" s="197" t="s">
        <v>579</v>
      </c>
      <c r="W153" s="1" t="s">
        <v>2138</v>
      </c>
      <c r="X153" s="1" t="s">
        <v>753</v>
      </c>
      <c r="Y153" s="1" t="s">
        <v>2140</v>
      </c>
      <c r="Z153" s="3" t="s">
        <v>3825</v>
      </c>
      <c r="AA153" s="499" t="s">
        <v>3109</v>
      </c>
      <c r="AB153" s="245" t="s">
        <v>4079</v>
      </c>
      <c r="AC153" s="1" t="s">
        <v>423</v>
      </c>
      <c r="AD153" s="1" t="s">
        <v>424</v>
      </c>
      <c r="AE153" s="1" t="s">
        <v>425</v>
      </c>
      <c r="AF153" s="3" t="s">
        <v>258</v>
      </c>
      <c r="AG153" s="499" t="s">
        <v>3101</v>
      </c>
      <c r="AH153" s="197" t="s">
        <v>579</v>
      </c>
      <c r="AI153" s="1" t="s">
        <v>822</v>
      </c>
      <c r="AJ153" s="1" t="s">
        <v>823</v>
      </c>
      <c r="AK153" s="1" t="s">
        <v>427</v>
      </c>
      <c r="AL153" s="3" t="s">
        <v>2796</v>
      </c>
      <c r="AM153" s="499" t="s">
        <v>3670</v>
      </c>
      <c r="AN153" s="197" t="s">
        <v>4177</v>
      </c>
      <c r="AO153" s="2" t="s">
        <v>3671</v>
      </c>
      <c r="AP153" s="2" t="s">
        <v>869</v>
      </c>
      <c r="AQ153" s="2" t="s">
        <v>870</v>
      </c>
      <c r="AR153" s="3" t="s">
        <v>3669</v>
      </c>
      <c r="AS153" s="499" t="s">
        <v>805</v>
      </c>
      <c r="AT153" s="245" t="s">
        <v>2733</v>
      </c>
      <c r="AU153" s="1" t="s">
        <v>3556</v>
      </c>
      <c r="AV153" s="1" t="s">
        <v>3557</v>
      </c>
      <c r="AW153" s="1" t="s">
        <v>3558</v>
      </c>
      <c r="AX153" s="3" t="s">
        <v>3559</v>
      </c>
      <c r="AY153" s="499" t="s">
        <v>3672</v>
      </c>
      <c r="AZ153" s="197" t="s">
        <v>3828</v>
      </c>
      <c r="BA153" s="1" t="s">
        <v>3674</v>
      </c>
      <c r="BB153" s="1" t="s">
        <v>3675</v>
      </c>
      <c r="BC153" s="1" t="s">
        <v>3676</v>
      </c>
      <c r="BD153" s="3" t="s">
        <v>2950</v>
      </c>
      <c r="BE153" s="499" t="s">
        <v>3286</v>
      </c>
      <c r="BF153" s="197" t="s">
        <v>3287</v>
      </c>
      <c r="BG153" s="1" t="s">
        <v>223</v>
      </c>
      <c r="BH153" s="1" t="s">
        <v>3288</v>
      </c>
      <c r="BI153" s="1" t="s">
        <v>3827</v>
      </c>
      <c r="BJ153" s="3" t="s">
        <v>3707</v>
      </c>
      <c r="BK153" s="499" t="s">
        <v>3110</v>
      </c>
      <c r="BL153" s="197" t="s">
        <v>4041</v>
      </c>
      <c r="BM153" s="2" t="s">
        <v>4056</v>
      </c>
      <c r="BN153" s="2" t="s">
        <v>2136</v>
      </c>
      <c r="BO153" s="2" t="s">
        <v>808</v>
      </c>
      <c r="BP153" s="3" t="s">
        <v>4045</v>
      </c>
      <c r="BQ153" s="499" t="s">
        <v>2096</v>
      </c>
      <c r="BR153" s="197" t="s">
        <v>1879</v>
      </c>
      <c r="BS153" s="2" t="s">
        <v>1462</v>
      </c>
      <c r="BT153" s="2" t="s">
        <v>2160</v>
      </c>
      <c r="BU153" s="2" t="s">
        <v>1463</v>
      </c>
      <c r="BV153" s="3" t="s">
        <v>690</v>
      </c>
      <c r="BW153" s="499" t="s">
        <v>24</v>
      </c>
      <c r="BX153" s="245" t="s">
        <v>3684</v>
      </c>
      <c r="BY153" s="7" t="s">
        <v>3552</v>
      </c>
      <c r="BZ153" s="2" t="s">
        <v>3553</v>
      </c>
      <c r="CA153" s="2" t="s">
        <v>426</v>
      </c>
      <c r="CB153" s="404" t="s">
        <v>3555</v>
      </c>
      <c r="CC153" s="197" t="s">
        <v>1908</v>
      </c>
      <c r="CD153" s="197" t="s">
        <v>2183</v>
      </c>
      <c r="CE153" s="1" t="s">
        <v>2174</v>
      </c>
      <c r="CF153" s="1" t="s">
        <v>2175</v>
      </c>
      <c r="CG153" s="1" t="s">
        <v>4052</v>
      </c>
      <c r="CH153" s="1" t="s">
        <v>2173</v>
      </c>
      <c r="CI153" s="499" t="s">
        <v>3111</v>
      </c>
      <c r="CJ153" s="197" t="s">
        <v>700</v>
      </c>
      <c r="CK153" s="7" t="s">
        <v>3760</v>
      </c>
      <c r="CL153" s="2" t="s">
        <v>3759</v>
      </c>
      <c r="CM153" s="2" t="s">
        <v>1465</v>
      </c>
      <c r="CN153" s="404" t="s">
        <v>3705</v>
      </c>
      <c r="CO153" s="499" t="s">
        <v>1871</v>
      </c>
      <c r="CP153" s="197" t="s">
        <v>2662</v>
      </c>
      <c r="CQ153" s="2" t="s">
        <v>3246</v>
      </c>
      <c r="CR153" s="2" t="s">
        <v>3247</v>
      </c>
      <c r="CS153" s="2" t="s">
        <v>2665</v>
      </c>
      <c r="CT153" s="2" t="s">
        <v>2666</v>
      </c>
      <c r="CU153" s="197" t="s">
        <v>3112</v>
      </c>
      <c r="CV153" s="197" t="s">
        <v>2710</v>
      </c>
      <c r="CW153" s="2" t="s">
        <v>2417</v>
      </c>
      <c r="CX153" s="2" t="s">
        <v>2456</v>
      </c>
      <c r="CY153" s="2" t="s">
        <v>2462</v>
      </c>
      <c r="CZ153" s="3" t="s">
        <v>2457</v>
      </c>
      <c r="DA153" s="499" t="s">
        <v>3107</v>
      </c>
      <c r="DB153" s="245" t="s">
        <v>1310</v>
      </c>
      <c r="DC153" s="7" t="s">
        <v>428</v>
      </c>
      <c r="DD153" s="2" t="s">
        <v>3831</v>
      </c>
      <c r="DE153" s="2" t="s">
        <v>429</v>
      </c>
      <c r="DF153" s="404" t="s">
        <v>2474</v>
      </c>
      <c r="DG153" s="499" t="s">
        <v>1388</v>
      </c>
      <c r="DH153" s="499" t="s">
        <v>3474</v>
      </c>
      <c r="DI153" s="518" t="s">
        <v>3766</v>
      </c>
      <c r="DJ153" s="417" t="s">
        <v>2771</v>
      </c>
      <c r="DK153" s="417" t="s">
        <v>3765</v>
      </c>
      <c r="DL153" s="404" t="s">
        <v>3764</v>
      </c>
      <c r="DM153" s="499" t="s">
        <v>3113</v>
      </c>
      <c r="DN153" s="499" t="s">
        <v>2164</v>
      </c>
      <c r="DO153" s="518" t="s">
        <v>3769</v>
      </c>
      <c r="DP153" s="417" t="s">
        <v>2167</v>
      </c>
      <c r="DQ153" s="417" t="s">
        <v>2165</v>
      </c>
      <c r="DR153" s="404" t="s">
        <v>1425</v>
      </c>
      <c r="DS153" s="499" t="s">
        <v>3114</v>
      </c>
      <c r="DT153" s="499" t="s">
        <v>3635</v>
      </c>
      <c r="DU153" s="518" t="s">
        <v>2583</v>
      </c>
      <c r="DV153" s="417" t="s">
        <v>1333</v>
      </c>
      <c r="DW153" s="417" t="s">
        <v>1334</v>
      </c>
      <c r="DX153" s="404" t="s">
        <v>3639</v>
      </c>
      <c r="DY153" s="499" t="s">
        <v>3098</v>
      </c>
      <c r="DZ153" s="197" t="s">
        <v>3842</v>
      </c>
      <c r="EA153" s="2" t="s">
        <v>3843</v>
      </c>
      <c r="EB153" s="2" t="s">
        <v>3844</v>
      </c>
      <c r="EC153" s="2" t="s">
        <v>3845</v>
      </c>
      <c r="ED153" s="3" t="s">
        <v>3368</v>
      </c>
      <c r="EE153" s="499" t="s">
        <v>3115</v>
      </c>
      <c r="EF153" s="499" t="s">
        <v>646</v>
      </c>
      <c r="EG153" s="518" t="s">
        <v>3687</v>
      </c>
      <c r="EH153" s="417" t="s">
        <v>2139</v>
      </c>
      <c r="EI153" s="417" t="s">
        <v>2569</v>
      </c>
      <c r="EJ153" s="404" t="s">
        <v>2141</v>
      </c>
      <c r="EK153" s="499" t="s">
        <v>3108</v>
      </c>
      <c r="EL153" s="499" t="s">
        <v>3420</v>
      </c>
      <c r="EM153" s="518" t="s">
        <v>1361</v>
      </c>
      <c r="EN153" s="417" t="s">
        <v>1362</v>
      </c>
      <c r="EO153" s="417" t="s">
        <v>3017</v>
      </c>
      <c r="EP153" s="404" t="s">
        <v>1363</v>
      </c>
      <c r="EQ153" s="499"/>
      <c r="ER153" s="499"/>
      <c r="ES153" s="518"/>
      <c r="ET153" s="417"/>
      <c r="EU153" s="417"/>
      <c r="EV153" s="404"/>
      <c r="EW153" s="499"/>
      <c r="EX153" s="499"/>
      <c r="EY153" s="518"/>
      <c r="EZ153" s="417"/>
      <c r="FA153" s="417"/>
      <c r="FB153" s="404"/>
      <c r="FC153" s="499"/>
      <c r="FD153" s="499"/>
      <c r="FE153" s="518"/>
      <c r="FF153" s="417"/>
      <c r="FG153" s="417"/>
      <c r="FH153" s="404"/>
      <c r="FI153" s="499"/>
      <c r="FJ153" s="499"/>
      <c r="FK153" s="518"/>
      <c r="FL153" s="417"/>
      <c r="FM153" s="417"/>
      <c r="FN153" s="404"/>
      <c r="FO153" s="499"/>
      <c r="FP153" s="499"/>
      <c r="FQ153" s="518"/>
      <c r="FR153" s="417"/>
      <c r="FS153" s="417"/>
      <c r="FT153" s="404"/>
      <c r="FU153" s="499"/>
      <c r="FV153" s="499"/>
      <c r="FW153" s="518"/>
      <c r="FX153" s="417"/>
      <c r="FY153" s="417"/>
      <c r="FZ153" s="404"/>
      <c r="GA153" s="499"/>
      <c r="GB153" s="499"/>
      <c r="GC153" s="518"/>
      <c r="GD153" s="417"/>
      <c r="GE153" s="417"/>
      <c r="GF153" s="404"/>
      <c r="GG153" s="499"/>
      <c r="GH153" s="499"/>
      <c r="GI153" s="518"/>
      <c r="GJ153" s="417"/>
      <c r="GK153" s="417"/>
      <c r="GL153" s="404"/>
      <c r="GM153" s="499"/>
      <c r="GN153" s="499"/>
      <c r="GO153" s="518"/>
      <c r="GP153" s="417"/>
      <c r="GQ153" s="417"/>
      <c r="GR153" s="404"/>
      <c r="GS153" s="499"/>
      <c r="GT153" s="499"/>
      <c r="GU153" s="518"/>
      <c r="GV153" s="417"/>
      <c r="GW153" s="417"/>
      <c r="GX153" s="404"/>
      <c r="GY153" s="499"/>
      <c r="GZ153" s="499"/>
      <c r="HA153" s="518"/>
      <c r="HB153" s="417"/>
      <c r="HC153" s="417"/>
      <c r="HD153" s="404"/>
      <c r="HE153" s="499"/>
      <c r="HF153" s="499"/>
      <c r="HG153" s="518"/>
      <c r="HH153" s="417"/>
      <c r="HI153" s="417"/>
      <c r="HJ153" s="404"/>
      <c r="HK153" s="499"/>
      <c r="HL153" s="499"/>
      <c r="HM153" s="518"/>
      <c r="HN153" s="417"/>
      <c r="HO153" s="417"/>
      <c r="HP153" s="404"/>
      <c r="HQ153" s="499"/>
      <c r="HR153" s="499"/>
      <c r="HS153" s="518"/>
      <c r="HT153" s="417"/>
      <c r="HU153" s="417"/>
      <c r="HV153" s="404"/>
      <c r="HW153" s="499"/>
      <c r="HX153" s="499"/>
      <c r="HY153" s="518"/>
      <c r="HZ153" s="417"/>
      <c r="IA153" s="417"/>
      <c r="IB153" s="404"/>
      <c r="IC153" s="499"/>
      <c r="ID153" s="499"/>
      <c r="IE153" s="518"/>
      <c r="IF153" s="417"/>
      <c r="IG153" s="417"/>
      <c r="IH153" s="404"/>
      <c r="II153" s="499"/>
      <c r="IJ153" s="499"/>
      <c r="IK153" s="518"/>
      <c r="IL153" s="417"/>
      <c r="IM153" s="417"/>
      <c r="IN153" s="404"/>
      <c r="IO153" s="499"/>
      <c r="IP153" s="499"/>
      <c r="IQ153" s="518"/>
      <c r="IR153" s="417"/>
      <c r="IS153" s="417"/>
      <c r="IT153" s="404"/>
    </row>
    <row r="154" spans="1:254" ht="12.9" customHeight="1" x14ac:dyDescent="0.2">
      <c r="A154" s="505" t="str">
        <f>+'Past Quartets 1st - 3rd Place'!A164</f>
        <v>1995 P</v>
      </c>
      <c r="B154" s="503">
        <f>+'Past Quartets 1st - 3rd Place'!B164</f>
        <v>41</v>
      </c>
      <c r="C154" s="405" t="s">
        <v>2145</v>
      </c>
      <c r="D154" s="197" t="s">
        <v>1405</v>
      </c>
      <c r="E154" s="7" t="s">
        <v>3081</v>
      </c>
      <c r="F154" s="2" t="s">
        <v>813</v>
      </c>
      <c r="G154" s="2" t="s">
        <v>2674</v>
      </c>
      <c r="H154" s="3" t="s">
        <v>3534</v>
      </c>
      <c r="I154" s="197" t="s">
        <v>3670</v>
      </c>
      <c r="J154" s="197" t="s">
        <v>4177</v>
      </c>
      <c r="K154" s="2" t="s">
        <v>3671</v>
      </c>
      <c r="L154" s="2" t="s">
        <v>869</v>
      </c>
      <c r="M154" s="2" t="s">
        <v>870</v>
      </c>
      <c r="N154" s="3" t="s">
        <v>3669</v>
      </c>
      <c r="O154" s="197" t="s">
        <v>2135</v>
      </c>
      <c r="P154" s="197" t="s">
        <v>4041</v>
      </c>
      <c r="Q154" s="2" t="s">
        <v>4056</v>
      </c>
      <c r="R154" s="2" t="s">
        <v>2136</v>
      </c>
      <c r="S154" s="2" t="s">
        <v>808</v>
      </c>
      <c r="T154" s="3" t="s">
        <v>4045</v>
      </c>
      <c r="U154" s="197" t="s">
        <v>2137</v>
      </c>
      <c r="V154" s="197" t="s">
        <v>579</v>
      </c>
      <c r="W154" s="2" t="s">
        <v>2138</v>
      </c>
      <c r="X154" s="2" t="s">
        <v>2139</v>
      </c>
      <c r="Y154" s="2" t="s">
        <v>2140</v>
      </c>
      <c r="Z154" s="3" t="s">
        <v>2141</v>
      </c>
      <c r="AA154" s="197" t="s">
        <v>3117</v>
      </c>
      <c r="AB154" s="197" t="s">
        <v>3826</v>
      </c>
      <c r="AC154" s="7" t="s">
        <v>3568</v>
      </c>
      <c r="AD154" s="2" t="s">
        <v>3569</v>
      </c>
      <c r="AE154" s="2" t="s">
        <v>3829</v>
      </c>
      <c r="AF154" s="3" t="s">
        <v>3570</v>
      </c>
      <c r="AG154" s="197" t="s">
        <v>805</v>
      </c>
      <c r="AH154" s="245" t="s">
        <v>2733</v>
      </c>
      <c r="AI154" s="1" t="s">
        <v>3556</v>
      </c>
      <c r="AJ154" s="1" t="s">
        <v>3557</v>
      </c>
      <c r="AK154" s="1" t="s">
        <v>3558</v>
      </c>
      <c r="AL154" s="3" t="s">
        <v>3559</v>
      </c>
      <c r="AM154" s="197" t="s">
        <v>3107</v>
      </c>
      <c r="AN154" s="245" t="s">
        <v>1310</v>
      </c>
      <c r="AO154" s="7" t="s">
        <v>428</v>
      </c>
      <c r="AP154" s="2" t="s">
        <v>2474</v>
      </c>
      <c r="AQ154" s="2" t="s">
        <v>429</v>
      </c>
      <c r="AR154" s="3" t="s">
        <v>1312</v>
      </c>
      <c r="AS154" s="197" t="s">
        <v>3118</v>
      </c>
      <c r="AT154" s="197" t="s">
        <v>4041</v>
      </c>
      <c r="AU154" s="1" t="s">
        <v>345</v>
      </c>
      <c r="AV154" s="1" t="s">
        <v>344</v>
      </c>
      <c r="AW154" s="1" t="s">
        <v>808</v>
      </c>
      <c r="AX154" s="3" t="s">
        <v>457</v>
      </c>
      <c r="AY154" s="197" t="s">
        <v>3119</v>
      </c>
      <c r="AZ154" s="245" t="s">
        <v>3684</v>
      </c>
      <c r="BA154" s="7" t="s">
        <v>3552</v>
      </c>
      <c r="BB154" s="2" t="s">
        <v>3553</v>
      </c>
      <c r="BC154" s="2" t="s">
        <v>426</v>
      </c>
      <c r="BD154" s="3" t="s">
        <v>3555</v>
      </c>
      <c r="BE154" s="197" t="s">
        <v>3101</v>
      </c>
      <c r="BF154" s="197" t="s">
        <v>579</v>
      </c>
      <c r="BG154" s="1" t="s">
        <v>822</v>
      </c>
      <c r="BH154" s="1" t="s">
        <v>823</v>
      </c>
      <c r="BI154" s="1" t="s">
        <v>427</v>
      </c>
      <c r="BJ154" s="3" t="s">
        <v>2796</v>
      </c>
      <c r="BK154" s="197" t="s">
        <v>3120</v>
      </c>
      <c r="BL154" s="197" t="s">
        <v>3826</v>
      </c>
      <c r="BM154" s="7" t="s">
        <v>2332</v>
      </c>
      <c r="BN154" s="2" t="s">
        <v>807</v>
      </c>
      <c r="BO154" s="2" t="s">
        <v>3083</v>
      </c>
      <c r="BP154" s="3" t="s">
        <v>804</v>
      </c>
      <c r="BQ154" s="197" t="s">
        <v>3121</v>
      </c>
      <c r="BR154" s="197" t="s">
        <v>645</v>
      </c>
      <c r="BS154" s="7" t="s">
        <v>1301</v>
      </c>
      <c r="BT154" s="2" t="s">
        <v>3576</v>
      </c>
      <c r="BU154" s="2" t="s">
        <v>3511</v>
      </c>
      <c r="BV154" s="3" t="s">
        <v>37</v>
      </c>
      <c r="BW154" s="197" t="s">
        <v>3109</v>
      </c>
      <c r="BX154" s="245" t="s">
        <v>4079</v>
      </c>
      <c r="BY154" s="1" t="s">
        <v>423</v>
      </c>
      <c r="BZ154" s="1" t="s">
        <v>424</v>
      </c>
      <c r="CA154" s="1" t="s">
        <v>425</v>
      </c>
      <c r="CB154" s="3" t="s">
        <v>258</v>
      </c>
      <c r="CC154" s="197" t="s">
        <v>3122</v>
      </c>
      <c r="CD154" s="197" t="s">
        <v>700</v>
      </c>
      <c r="CE154" s="7" t="s">
        <v>3760</v>
      </c>
      <c r="CF154" s="2" t="s">
        <v>3759</v>
      </c>
      <c r="CG154" s="2" t="s">
        <v>1465</v>
      </c>
      <c r="CH154" s="3" t="s">
        <v>3705</v>
      </c>
      <c r="CI154" s="197" t="s">
        <v>2096</v>
      </c>
      <c r="CJ154" s="197" t="s">
        <v>1879</v>
      </c>
      <c r="CK154" s="2" t="s">
        <v>1462</v>
      </c>
      <c r="CL154" s="2" t="s">
        <v>2160</v>
      </c>
      <c r="CM154" s="2" t="s">
        <v>1463</v>
      </c>
      <c r="CN154" s="3" t="s">
        <v>690</v>
      </c>
      <c r="CO154" s="197" t="s">
        <v>770</v>
      </c>
      <c r="CP154" s="197" t="s">
        <v>1406</v>
      </c>
      <c r="CQ154" s="1" t="s">
        <v>3763</v>
      </c>
      <c r="CR154" s="1" t="s">
        <v>3762</v>
      </c>
      <c r="CS154" s="1" t="s">
        <v>3761</v>
      </c>
      <c r="CT154" s="3" t="s">
        <v>2950</v>
      </c>
      <c r="CU154" s="197" t="s">
        <v>771</v>
      </c>
      <c r="CV154" s="197" t="s">
        <v>148</v>
      </c>
      <c r="CW154" s="1" t="s">
        <v>3939</v>
      </c>
      <c r="CX154" s="1" t="s">
        <v>3940</v>
      </c>
      <c r="CY154" s="1" t="s">
        <v>3839</v>
      </c>
      <c r="CZ154" s="3" t="s">
        <v>1638</v>
      </c>
      <c r="DA154" s="197" t="s">
        <v>772</v>
      </c>
      <c r="DB154" s="197" t="s">
        <v>2777</v>
      </c>
      <c r="DC154" s="1" t="s">
        <v>735</v>
      </c>
      <c r="DD154" s="1" t="s">
        <v>1303</v>
      </c>
      <c r="DE154" s="1" t="s">
        <v>2154</v>
      </c>
      <c r="DF154" s="3" t="s">
        <v>3514</v>
      </c>
      <c r="DG154" s="197" t="s">
        <v>773</v>
      </c>
      <c r="DH154" s="197" t="s">
        <v>2772</v>
      </c>
      <c r="DI154" s="1" t="s">
        <v>3768</v>
      </c>
      <c r="DJ154" s="1" t="s">
        <v>184</v>
      </c>
      <c r="DK154" s="1" t="s">
        <v>3876</v>
      </c>
      <c r="DL154" s="3" t="s">
        <v>3767</v>
      </c>
      <c r="DM154" s="197" t="s">
        <v>3112</v>
      </c>
      <c r="DN154" s="197" t="s">
        <v>2710</v>
      </c>
      <c r="DO154" s="2" t="s">
        <v>2417</v>
      </c>
      <c r="DP154" s="2" t="s">
        <v>2456</v>
      </c>
      <c r="DQ154" s="2" t="s">
        <v>2462</v>
      </c>
      <c r="DR154" s="3" t="s">
        <v>2457</v>
      </c>
      <c r="DS154" s="197" t="s">
        <v>774</v>
      </c>
      <c r="DT154" s="197" t="s">
        <v>2778</v>
      </c>
      <c r="DU154" s="1" t="s">
        <v>1348</v>
      </c>
      <c r="DV154" s="1" t="s">
        <v>3771</v>
      </c>
      <c r="DW154" s="1" t="s">
        <v>3770</v>
      </c>
      <c r="DX154" s="3" t="s">
        <v>4260</v>
      </c>
      <c r="DY154" s="197" t="s">
        <v>1314</v>
      </c>
      <c r="DZ154" s="197" t="s">
        <v>3635</v>
      </c>
      <c r="EA154" s="2" t="s">
        <v>3687</v>
      </c>
      <c r="EB154" s="2" t="s">
        <v>3638</v>
      </c>
      <c r="EC154" s="2" t="s">
        <v>3689</v>
      </c>
      <c r="ED154" s="3" t="s">
        <v>3690</v>
      </c>
      <c r="EE154" s="197" t="s">
        <v>3098</v>
      </c>
      <c r="EF154" s="197" t="s">
        <v>3842</v>
      </c>
      <c r="EG154" s="2" t="s">
        <v>3843</v>
      </c>
      <c r="EH154" s="2" t="s">
        <v>3844</v>
      </c>
      <c r="EI154" s="2" t="s">
        <v>3845</v>
      </c>
      <c r="EJ154" s="3" t="s">
        <v>3368</v>
      </c>
      <c r="EK154" s="197" t="s">
        <v>3114</v>
      </c>
      <c r="EL154" s="197" t="s">
        <v>3635</v>
      </c>
      <c r="EM154" s="1" t="s">
        <v>2583</v>
      </c>
      <c r="EN154" s="1" t="s">
        <v>1333</v>
      </c>
      <c r="EO154" s="1" t="s">
        <v>1887</v>
      </c>
      <c r="EP154" s="3" t="s">
        <v>3639</v>
      </c>
      <c r="EQ154" s="197" t="s">
        <v>1315</v>
      </c>
      <c r="ER154" s="197" t="s">
        <v>3429</v>
      </c>
      <c r="ES154" s="2" t="s">
        <v>1357</v>
      </c>
      <c r="ET154" s="2" t="s">
        <v>1355</v>
      </c>
      <c r="EU154" s="2" t="s">
        <v>1356</v>
      </c>
      <c r="EV154" s="3" t="s">
        <v>865</v>
      </c>
      <c r="EW154" s="197" t="s">
        <v>2356</v>
      </c>
      <c r="EX154" s="197" t="s">
        <v>2668</v>
      </c>
      <c r="EY154" s="2" t="s">
        <v>3874</v>
      </c>
      <c r="EZ154" s="2" t="s">
        <v>1420</v>
      </c>
      <c r="FA154" s="2" t="s">
        <v>1421</v>
      </c>
      <c r="FB154" s="2" t="s">
        <v>2675</v>
      </c>
      <c r="FC154" s="405" t="s">
        <v>3113</v>
      </c>
      <c r="FD154" s="197" t="s">
        <v>2164</v>
      </c>
      <c r="FE154" s="2" t="s">
        <v>3769</v>
      </c>
      <c r="FF154" s="2" t="s">
        <v>2167</v>
      </c>
      <c r="FG154" s="2" t="s">
        <v>2165</v>
      </c>
      <c r="FH154" s="3" t="s">
        <v>1425</v>
      </c>
      <c r="FI154" s="504" t="s">
        <v>1871</v>
      </c>
      <c r="FJ154" s="197" t="s">
        <v>2662</v>
      </c>
      <c r="FK154" s="2" t="s">
        <v>3246</v>
      </c>
      <c r="FL154" s="2" t="s">
        <v>3247</v>
      </c>
      <c r="FM154" s="2" t="s">
        <v>2665</v>
      </c>
      <c r="FN154" s="2" t="s">
        <v>2666</v>
      </c>
      <c r="FO154" s="197" t="s">
        <v>1316</v>
      </c>
      <c r="FP154" s="197" t="s">
        <v>2662</v>
      </c>
      <c r="FQ154" s="1" t="s">
        <v>3774</v>
      </c>
      <c r="FR154" s="1" t="s">
        <v>3773</v>
      </c>
      <c r="FS154" s="1" t="s">
        <v>2941</v>
      </c>
      <c r="FT154" s="3" t="s">
        <v>3772</v>
      </c>
      <c r="FU154" s="197" t="s">
        <v>1317</v>
      </c>
      <c r="FV154" s="197" t="s">
        <v>348</v>
      </c>
      <c r="FW154" s="1" t="s">
        <v>3777</v>
      </c>
      <c r="FX154" s="1" t="s">
        <v>3776</v>
      </c>
      <c r="FY154" s="1" t="s">
        <v>3775</v>
      </c>
      <c r="FZ154" s="3" t="s">
        <v>2773</v>
      </c>
      <c r="GA154" s="197" t="s">
        <v>399</v>
      </c>
      <c r="GB154" s="197" t="s">
        <v>2172</v>
      </c>
      <c r="GC154" s="1" t="s">
        <v>3780</v>
      </c>
      <c r="GD154" s="1" t="s">
        <v>3779</v>
      </c>
      <c r="GE154" s="1" t="s">
        <v>3423</v>
      </c>
      <c r="GF154" s="3" t="s">
        <v>3778</v>
      </c>
      <c r="GG154" s="197" t="s">
        <v>2713</v>
      </c>
      <c r="GH154" s="197" t="s">
        <v>2714</v>
      </c>
      <c r="GI154" s="7" t="s">
        <v>2715</v>
      </c>
      <c r="GJ154" s="2" t="s">
        <v>2716</v>
      </c>
      <c r="GK154" s="2" t="s">
        <v>286</v>
      </c>
      <c r="GL154" s="3" t="s">
        <v>287</v>
      </c>
      <c r="GM154" s="197" t="s">
        <v>1318</v>
      </c>
      <c r="GN154" s="197" t="s">
        <v>3420</v>
      </c>
      <c r="GO154" s="2" t="s">
        <v>1359</v>
      </c>
      <c r="GP154" s="2" t="s">
        <v>1358</v>
      </c>
      <c r="GQ154" s="2" t="s">
        <v>2774</v>
      </c>
      <c r="GR154" s="3" t="s">
        <v>1360</v>
      </c>
      <c r="GS154" s="197" t="s">
        <v>1319</v>
      </c>
      <c r="GT154" s="197" t="s">
        <v>3425</v>
      </c>
      <c r="GU154" s="1" t="s">
        <v>4183</v>
      </c>
      <c r="GV154" s="1" t="s">
        <v>3781</v>
      </c>
      <c r="GW154" s="1" t="s">
        <v>3354</v>
      </c>
      <c r="GX154" s="3" t="s">
        <v>491</v>
      </c>
      <c r="GY154" s="197" t="s">
        <v>1320</v>
      </c>
      <c r="GZ154" s="197" t="s">
        <v>4041</v>
      </c>
      <c r="HA154" s="1" t="s">
        <v>3785</v>
      </c>
      <c r="HB154" s="1" t="s">
        <v>3784</v>
      </c>
      <c r="HC154" s="1" t="s">
        <v>3783</v>
      </c>
      <c r="HD154" s="3" t="s">
        <v>3782</v>
      </c>
      <c r="HE154" s="197"/>
      <c r="HF154" s="197"/>
      <c r="HG154" s="1"/>
      <c r="HH154" s="1"/>
      <c r="HI154" s="1"/>
      <c r="HJ154" s="3"/>
      <c r="HK154" s="197"/>
      <c r="HL154" s="197"/>
      <c r="HM154" s="1"/>
      <c r="HN154" s="1"/>
      <c r="HO154" s="1"/>
      <c r="HP154" s="3"/>
      <c r="HQ154" s="197"/>
      <c r="HR154" s="197"/>
      <c r="HS154" s="1"/>
      <c r="HT154" s="1"/>
      <c r="HU154" s="1"/>
      <c r="HV154" s="3"/>
      <c r="HW154" s="197"/>
      <c r="HX154" s="197"/>
      <c r="HY154" s="1"/>
      <c r="HZ154" s="1"/>
      <c r="IA154" s="1"/>
      <c r="IB154" s="3"/>
      <c r="IC154" s="197"/>
      <c r="ID154" s="197"/>
      <c r="IE154" s="1"/>
      <c r="IF154" s="1"/>
      <c r="IG154" s="1"/>
      <c r="IH154" s="3"/>
      <c r="II154" s="197"/>
      <c r="IJ154" s="197"/>
      <c r="IK154" s="1"/>
      <c r="IL154" s="1"/>
      <c r="IM154" s="1"/>
      <c r="IN154" s="3"/>
      <c r="IO154" s="197"/>
      <c r="IP154" s="197"/>
      <c r="IQ154" s="1"/>
      <c r="IR154" s="1"/>
      <c r="IS154" s="1"/>
      <c r="IT154" s="3"/>
    </row>
    <row r="155" spans="1:254" ht="12.9" customHeight="1" x14ac:dyDescent="0.2">
      <c r="A155" s="505" t="str">
        <f>+'Past Quartets 1st - 3rd Place'!A165</f>
        <v>1996 P</v>
      </c>
      <c r="B155" s="503">
        <f>+'Past Quartets 1st - 3rd Place'!B165</f>
        <v>31</v>
      </c>
      <c r="C155" s="197" t="s">
        <v>3101</v>
      </c>
      <c r="D155" s="197" t="s">
        <v>579</v>
      </c>
      <c r="E155" s="1" t="s">
        <v>822</v>
      </c>
      <c r="F155" s="1" t="s">
        <v>823</v>
      </c>
      <c r="G155" s="1" t="s">
        <v>427</v>
      </c>
      <c r="H155" s="3" t="s">
        <v>2796</v>
      </c>
      <c r="I155" s="405" t="s">
        <v>3286</v>
      </c>
      <c r="J155" s="197" t="s">
        <v>3287</v>
      </c>
      <c r="K155" s="1" t="s">
        <v>3706</v>
      </c>
      <c r="L155" s="1" t="s">
        <v>3288</v>
      </c>
      <c r="M155" s="1" t="s">
        <v>3289</v>
      </c>
      <c r="N155" s="1" t="s">
        <v>2725</v>
      </c>
      <c r="O155" s="405" t="s">
        <v>3670</v>
      </c>
      <c r="P155" s="197" t="s">
        <v>4177</v>
      </c>
      <c r="Q155" s="2" t="s">
        <v>3671</v>
      </c>
      <c r="R155" s="2" t="s">
        <v>869</v>
      </c>
      <c r="S155" s="2" t="s">
        <v>870</v>
      </c>
      <c r="T155" s="3" t="s">
        <v>3669</v>
      </c>
      <c r="U155" s="197" t="s">
        <v>2137</v>
      </c>
      <c r="V155" s="197" t="s">
        <v>579</v>
      </c>
      <c r="W155" s="2" t="s">
        <v>2138</v>
      </c>
      <c r="X155" s="2" t="s">
        <v>2139</v>
      </c>
      <c r="Y155" s="2" t="s">
        <v>2140</v>
      </c>
      <c r="Z155" s="3" t="s">
        <v>2141</v>
      </c>
      <c r="AA155" s="197" t="s">
        <v>24</v>
      </c>
      <c r="AB155" s="245" t="s">
        <v>3684</v>
      </c>
      <c r="AC155" s="7" t="s">
        <v>3552</v>
      </c>
      <c r="AD155" s="2" t="s">
        <v>3553</v>
      </c>
      <c r="AE155" s="2" t="s">
        <v>426</v>
      </c>
      <c r="AF155" s="3" t="s">
        <v>3555</v>
      </c>
      <c r="AG155" s="405" t="s">
        <v>2135</v>
      </c>
      <c r="AH155" s="197" t="s">
        <v>4041</v>
      </c>
      <c r="AI155" s="2" t="s">
        <v>4056</v>
      </c>
      <c r="AJ155" s="2" t="s">
        <v>2136</v>
      </c>
      <c r="AK155" s="2" t="s">
        <v>808</v>
      </c>
      <c r="AL155" s="3" t="s">
        <v>4045</v>
      </c>
      <c r="AM155" s="197" t="s">
        <v>1635</v>
      </c>
      <c r="AN155" s="197" t="s">
        <v>1636</v>
      </c>
      <c r="AO155" s="1" t="s">
        <v>1637</v>
      </c>
      <c r="AP155" s="1" t="s">
        <v>4083</v>
      </c>
      <c r="AQ155" s="1" t="s">
        <v>1639</v>
      </c>
      <c r="AR155" s="1" t="s">
        <v>252</v>
      </c>
      <c r="AS155" s="405" t="s">
        <v>3107</v>
      </c>
      <c r="AT155" s="245" t="s">
        <v>1310</v>
      </c>
      <c r="AU155" s="7" t="s">
        <v>428</v>
      </c>
      <c r="AV155" s="2" t="s">
        <v>3831</v>
      </c>
      <c r="AW155" s="2" t="s">
        <v>429</v>
      </c>
      <c r="AX155" s="3" t="s">
        <v>2474</v>
      </c>
      <c r="AY155" s="405" t="s">
        <v>3120</v>
      </c>
      <c r="AZ155" s="197" t="s">
        <v>3826</v>
      </c>
      <c r="BA155" s="7" t="s">
        <v>2332</v>
      </c>
      <c r="BB155" s="2" t="s">
        <v>807</v>
      </c>
      <c r="BC155" s="2" t="s">
        <v>3083</v>
      </c>
      <c r="BD155" s="3" t="s">
        <v>804</v>
      </c>
      <c r="BE155" s="197" t="s">
        <v>805</v>
      </c>
      <c r="BF155" s="245" t="s">
        <v>2733</v>
      </c>
      <c r="BG155" s="1" t="s">
        <v>3556</v>
      </c>
      <c r="BH155" s="1" t="s">
        <v>3557</v>
      </c>
      <c r="BI155" s="1" t="s">
        <v>3558</v>
      </c>
      <c r="BJ155" s="3" t="s">
        <v>3559</v>
      </c>
      <c r="BK155" s="405" t="s">
        <v>2145</v>
      </c>
      <c r="BL155" s="197" t="s">
        <v>1405</v>
      </c>
      <c r="BM155" s="7" t="s">
        <v>3081</v>
      </c>
      <c r="BN155" s="2" t="s">
        <v>813</v>
      </c>
      <c r="BO155" s="2" t="s">
        <v>2674</v>
      </c>
      <c r="BP155" s="3" t="s">
        <v>3534</v>
      </c>
      <c r="BQ155" s="197" t="s">
        <v>3112</v>
      </c>
      <c r="BR155" s="197" t="s">
        <v>2710</v>
      </c>
      <c r="BS155" s="2" t="s">
        <v>2417</v>
      </c>
      <c r="BT155" s="2" t="s">
        <v>2456</v>
      </c>
      <c r="BU155" s="2" t="s">
        <v>2462</v>
      </c>
      <c r="BV155" s="3" t="s">
        <v>2457</v>
      </c>
      <c r="BW155" s="197" t="s">
        <v>1871</v>
      </c>
      <c r="BX155" s="197" t="s">
        <v>2662</v>
      </c>
      <c r="BY155" s="2" t="s">
        <v>3246</v>
      </c>
      <c r="BZ155" s="2" t="s">
        <v>3247</v>
      </c>
      <c r="CA155" s="2" t="s">
        <v>2665</v>
      </c>
      <c r="CB155" s="3" t="s">
        <v>2666</v>
      </c>
      <c r="CC155" s="197" t="s">
        <v>1322</v>
      </c>
      <c r="CD155" s="197" t="s">
        <v>517</v>
      </c>
      <c r="CE155" s="7" t="s">
        <v>3938</v>
      </c>
      <c r="CF155" s="2" t="s">
        <v>2270</v>
      </c>
      <c r="CG155" s="2" t="s">
        <v>2731</v>
      </c>
      <c r="CH155" s="3" t="s">
        <v>768</v>
      </c>
      <c r="CI155" s="405" t="s">
        <v>1323</v>
      </c>
      <c r="CJ155" s="197" t="s">
        <v>3826</v>
      </c>
      <c r="CK155" s="2" t="s">
        <v>1504</v>
      </c>
      <c r="CL155" s="2" t="s">
        <v>837</v>
      </c>
      <c r="CM155" s="2" t="s">
        <v>3841</v>
      </c>
      <c r="CN155" s="3" t="s">
        <v>181</v>
      </c>
      <c r="CO155" s="197" t="s">
        <v>3098</v>
      </c>
      <c r="CP155" s="197" t="s">
        <v>3842</v>
      </c>
      <c r="CQ155" s="2" t="s">
        <v>3843</v>
      </c>
      <c r="CR155" s="2" t="s">
        <v>3844</v>
      </c>
      <c r="CS155" s="2" t="s">
        <v>3845</v>
      </c>
      <c r="CT155" s="3" t="s">
        <v>3368</v>
      </c>
      <c r="CU155" s="197" t="s">
        <v>773</v>
      </c>
      <c r="CV155" s="197" t="s">
        <v>2772</v>
      </c>
      <c r="CW155" s="2" t="s">
        <v>3768</v>
      </c>
      <c r="CX155" s="2" t="s">
        <v>184</v>
      </c>
      <c r="CY155" s="2" t="s">
        <v>3876</v>
      </c>
      <c r="CZ155" s="3" t="s">
        <v>3767</v>
      </c>
      <c r="DA155" s="197" t="s">
        <v>2243</v>
      </c>
      <c r="DB155" s="197" t="s">
        <v>3417</v>
      </c>
      <c r="DC155" s="7" t="s">
        <v>3015</v>
      </c>
      <c r="DD155" s="2" t="s">
        <v>3014</v>
      </c>
      <c r="DE155" s="2" t="s">
        <v>658</v>
      </c>
      <c r="DF155" s="3" t="s">
        <v>3418</v>
      </c>
      <c r="DG155" s="197" t="s">
        <v>399</v>
      </c>
      <c r="DH155" s="197" t="s">
        <v>2172</v>
      </c>
      <c r="DI155" s="1" t="s">
        <v>3780</v>
      </c>
      <c r="DJ155" s="1" t="s">
        <v>3779</v>
      </c>
      <c r="DK155" s="1" t="s">
        <v>3423</v>
      </c>
      <c r="DL155" s="3" t="s">
        <v>3778</v>
      </c>
      <c r="DM155" s="197" t="s">
        <v>1324</v>
      </c>
      <c r="DN155" s="197" t="s">
        <v>700</v>
      </c>
      <c r="DO155" s="2" t="s">
        <v>3870</v>
      </c>
      <c r="DP155" s="2" t="s">
        <v>1345</v>
      </c>
      <c r="DQ155" s="2" t="s">
        <v>2775</v>
      </c>
      <c r="DR155" s="3" t="s">
        <v>1346</v>
      </c>
      <c r="DS155" s="197" t="s">
        <v>1325</v>
      </c>
      <c r="DT155" s="197" t="s">
        <v>1406</v>
      </c>
      <c r="DU155" s="7" t="s">
        <v>1407</v>
      </c>
      <c r="DV155" s="2" t="s">
        <v>1516</v>
      </c>
      <c r="DW155" s="2" t="s">
        <v>1341</v>
      </c>
      <c r="DX155" s="3" t="s">
        <v>1407</v>
      </c>
      <c r="DY155" s="197" t="s">
        <v>1326</v>
      </c>
      <c r="DZ155" s="197" t="s">
        <v>2571</v>
      </c>
      <c r="EA155" s="2" t="s">
        <v>1493</v>
      </c>
      <c r="EB155" s="2" t="s">
        <v>2572</v>
      </c>
      <c r="EC155" s="2" t="s">
        <v>3949</v>
      </c>
      <c r="ED155" s="3" t="s">
        <v>3948</v>
      </c>
      <c r="EE155" s="197" t="s">
        <v>1315</v>
      </c>
      <c r="EF155" s="197" t="s">
        <v>3429</v>
      </c>
      <c r="EG155" s="2" t="s">
        <v>1357</v>
      </c>
      <c r="EH155" s="2" t="s">
        <v>1355</v>
      </c>
      <c r="EI155" s="2" t="s">
        <v>1356</v>
      </c>
      <c r="EJ155" s="3" t="s">
        <v>865</v>
      </c>
      <c r="EK155" s="197" t="s">
        <v>1316</v>
      </c>
      <c r="EL155" s="197" t="s">
        <v>2776</v>
      </c>
      <c r="EM155" s="1" t="s">
        <v>3774</v>
      </c>
      <c r="EN155" s="1" t="s">
        <v>3773</v>
      </c>
      <c r="EO155" s="1" t="s">
        <v>2941</v>
      </c>
      <c r="EP155" s="3" t="s">
        <v>3772</v>
      </c>
      <c r="EQ155" s="197" t="s">
        <v>1327</v>
      </c>
      <c r="ER155" s="197" t="s">
        <v>4249</v>
      </c>
      <c r="ES155" s="2" t="s">
        <v>3791</v>
      </c>
      <c r="ET155" s="2" t="s">
        <v>3790</v>
      </c>
      <c r="EU155" s="2" t="s">
        <v>3789</v>
      </c>
      <c r="EV155" s="3" t="s">
        <v>3788</v>
      </c>
      <c r="EW155" s="197"/>
      <c r="EX155" s="197"/>
      <c r="EY155" s="2"/>
      <c r="EZ155" s="2"/>
      <c r="FA155" s="2"/>
      <c r="FB155" s="3"/>
      <c r="FC155" s="197"/>
      <c r="FD155" s="197"/>
      <c r="FE155" s="2"/>
      <c r="FF155" s="2"/>
      <c r="FG155" s="2"/>
      <c r="FH155" s="3"/>
      <c r="FI155" s="197"/>
      <c r="FJ155" s="197"/>
      <c r="FK155" s="2"/>
      <c r="FL155" s="2"/>
      <c r="FM155" s="2"/>
      <c r="FN155" s="3"/>
      <c r="FO155" s="197"/>
      <c r="FP155" s="197"/>
      <c r="FQ155" s="2"/>
      <c r="FR155" s="2"/>
      <c r="FS155" s="2"/>
      <c r="FT155" s="3"/>
      <c r="FU155" s="197"/>
      <c r="FV155" s="197"/>
      <c r="FW155" s="2"/>
      <c r="FX155" s="2"/>
      <c r="FY155" s="2"/>
      <c r="FZ155" s="3"/>
      <c r="GA155" s="197"/>
      <c r="GB155" s="197"/>
      <c r="GC155" s="2"/>
      <c r="GD155" s="2"/>
      <c r="GE155" s="2"/>
      <c r="GF155" s="3"/>
      <c r="GG155" s="197"/>
      <c r="GH155" s="197"/>
      <c r="GI155" s="2"/>
      <c r="GJ155" s="2"/>
      <c r="GK155" s="2"/>
      <c r="GL155" s="3"/>
      <c r="GM155" s="197"/>
      <c r="GN155" s="197"/>
      <c r="GO155" s="2"/>
      <c r="GP155" s="2"/>
      <c r="GQ155" s="2"/>
      <c r="GR155" s="3"/>
      <c r="GS155" s="197"/>
      <c r="GT155" s="197"/>
      <c r="GU155" s="2"/>
      <c r="GV155" s="2"/>
      <c r="GW155" s="2"/>
      <c r="GX155" s="3"/>
      <c r="GY155" s="197"/>
      <c r="GZ155" s="197"/>
      <c r="HA155" s="2"/>
      <c r="HB155" s="2"/>
      <c r="HC155" s="2"/>
      <c r="HD155" s="3"/>
      <c r="HE155" s="197"/>
      <c r="HF155" s="197"/>
      <c r="HG155" s="2"/>
      <c r="HH155" s="2"/>
      <c r="HI155" s="2"/>
      <c r="HJ155" s="3"/>
      <c r="HK155" s="197"/>
      <c r="HL155" s="197"/>
      <c r="HM155" s="2"/>
      <c r="HN155" s="2"/>
      <c r="HO155" s="2"/>
      <c r="HP155" s="3"/>
      <c r="HQ155" s="197"/>
      <c r="HR155" s="197"/>
      <c r="HS155" s="2"/>
      <c r="HT155" s="2"/>
      <c r="HU155" s="2"/>
      <c r="HV155" s="3"/>
      <c r="HW155" s="197"/>
      <c r="HX155" s="197"/>
      <c r="HY155" s="2"/>
      <c r="HZ155" s="2"/>
      <c r="IA155" s="2"/>
      <c r="IB155" s="3"/>
      <c r="IC155" s="197"/>
      <c r="ID155" s="197"/>
      <c r="IE155" s="2"/>
      <c r="IF155" s="2"/>
      <c r="IG155" s="2"/>
      <c r="IH155" s="3"/>
      <c r="II155" s="197"/>
      <c r="IJ155" s="197"/>
      <c r="IK155" s="2"/>
      <c r="IL155" s="2"/>
      <c r="IM155" s="2"/>
      <c r="IN155" s="3"/>
      <c r="IO155" s="197"/>
      <c r="IP155" s="197"/>
      <c r="IQ155" s="2"/>
      <c r="IR155" s="2"/>
      <c r="IS155" s="2"/>
      <c r="IT155" s="3"/>
    </row>
    <row r="156" spans="1:254" ht="12.9" customHeight="1" x14ac:dyDescent="0.2">
      <c r="A156" s="505" t="str">
        <f>+'Past Quartets 1st - 3rd Place'!A166</f>
        <v>1997 P</v>
      </c>
      <c r="B156" s="503">
        <f>+'Past Quartets 1st - 3rd Place'!B166</f>
        <v>30</v>
      </c>
      <c r="C156" s="197" t="s">
        <v>2238</v>
      </c>
      <c r="D156" s="197" t="s">
        <v>2556</v>
      </c>
      <c r="E156" s="1" t="s">
        <v>3416</v>
      </c>
      <c r="F156" s="1" t="s">
        <v>132</v>
      </c>
      <c r="G156" s="1" t="s">
        <v>425</v>
      </c>
      <c r="H156" s="3" t="s">
        <v>265</v>
      </c>
      <c r="I156" s="197" t="s">
        <v>1635</v>
      </c>
      <c r="J156" s="197" t="s">
        <v>1636</v>
      </c>
      <c r="K156" s="1" t="s">
        <v>1637</v>
      </c>
      <c r="L156" s="1" t="s">
        <v>1638</v>
      </c>
      <c r="M156" s="1" t="s">
        <v>1639</v>
      </c>
      <c r="N156" s="1" t="s">
        <v>252</v>
      </c>
      <c r="O156" s="405" t="s">
        <v>3296</v>
      </c>
      <c r="P156" s="197" t="s">
        <v>3292</v>
      </c>
      <c r="Q156" s="2" t="s">
        <v>145</v>
      </c>
      <c r="R156" s="2" t="s">
        <v>146</v>
      </c>
      <c r="S156" s="2" t="s">
        <v>1615</v>
      </c>
      <c r="T156" s="3" t="s">
        <v>2950</v>
      </c>
      <c r="U156" s="197" t="s">
        <v>24</v>
      </c>
      <c r="V156" s="245" t="s">
        <v>3684</v>
      </c>
      <c r="W156" s="7" t="s">
        <v>3552</v>
      </c>
      <c r="X156" s="2" t="s">
        <v>3553</v>
      </c>
      <c r="Y156" s="2" t="s">
        <v>426</v>
      </c>
      <c r="Z156" s="3" t="s">
        <v>3555</v>
      </c>
      <c r="AA156" s="197" t="s">
        <v>2145</v>
      </c>
      <c r="AB156" s="197" t="s">
        <v>1405</v>
      </c>
      <c r="AC156" s="7" t="s">
        <v>3081</v>
      </c>
      <c r="AD156" s="2" t="s">
        <v>813</v>
      </c>
      <c r="AE156" s="2" t="s">
        <v>2674</v>
      </c>
      <c r="AF156" s="3" t="s">
        <v>3534</v>
      </c>
      <c r="AG156" s="405" t="s">
        <v>2239</v>
      </c>
      <c r="AH156" s="197" t="s">
        <v>3478</v>
      </c>
      <c r="AI156" s="2" t="s">
        <v>3007</v>
      </c>
      <c r="AJ156" s="2" t="s">
        <v>3565</v>
      </c>
      <c r="AK156" s="2" t="s">
        <v>4044</v>
      </c>
      <c r="AL156" s="3" t="s">
        <v>3758</v>
      </c>
      <c r="AM156" s="197" t="s">
        <v>1646</v>
      </c>
      <c r="AN156" s="245" t="s">
        <v>2361</v>
      </c>
      <c r="AO156" s="2" t="s">
        <v>3687</v>
      </c>
      <c r="AP156" s="2" t="s">
        <v>3688</v>
      </c>
      <c r="AQ156" s="2" t="s">
        <v>3689</v>
      </c>
      <c r="AR156" s="3" t="s">
        <v>3690</v>
      </c>
      <c r="AS156" s="197" t="s">
        <v>3107</v>
      </c>
      <c r="AT156" s="245" t="s">
        <v>1310</v>
      </c>
      <c r="AU156" s="7" t="s">
        <v>428</v>
      </c>
      <c r="AV156" s="2" t="s">
        <v>3831</v>
      </c>
      <c r="AW156" s="2" t="s">
        <v>429</v>
      </c>
      <c r="AX156" s="3" t="s">
        <v>2474</v>
      </c>
      <c r="AY156" s="405" t="s">
        <v>2240</v>
      </c>
      <c r="AZ156" s="197" t="s">
        <v>3836</v>
      </c>
      <c r="BA156" s="7" t="s">
        <v>3837</v>
      </c>
      <c r="BB156" s="2" t="s">
        <v>3601</v>
      </c>
      <c r="BC156" s="2" t="s">
        <v>2466</v>
      </c>
      <c r="BD156" s="3" t="s">
        <v>3838</v>
      </c>
      <c r="BE156" s="197" t="s">
        <v>3101</v>
      </c>
      <c r="BF156" s="197" t="s">
        <v>579</v>
      </c>
      <c r="BG156" s="1" t="s">
        <v>822</v>
      </c>
      <c r="BH156" s="1" t="s">
        <v>823</v>
      </c>
      <c r="BI156" s="1" t="s">
        <v>427</v>
      </c>
      <c r="BJ156" s="3" t="s">
        <v>2796</v>
      </c>
      <c r="BK156" s="197" t="s">
        <v>2241</v>
      </c>
      <c r="BL156" s="197" t="s">
        <v>3826</v>
      </c>
      <c r="BM156" s="7" t="s">
        <v>3840</v>
      </c>
      <c r="BN156" s="2" t="s">
        <v>3841</v>
      </c>
      <c r="BO156" s="2" t="s">
        <v>3083</v>
      </c>
      <c r="BP156" s="3" t="s">
        <v>804</v>
      </c>
      <c r="BQ156" s="405" t="s">
        <v>2348</v>
      </c>
      <c r="BR156" s="249" t="s">
        <v>148</v>
      </c>
      <c r="BS156" s="10" t="s">
        <v>2349</v>
      </c>
      <c r="BT156" s="8" t="s">
        <v>2350</v>
      </c>
      <c r="BU156" s="8" t="s">
        <v>2351</v>
      </c>
      <c r="BV156" s="6" t="s">
        <v>2536</v>
      </c>
      <c r="BW156" s="197" t="s">
        <v>3098</v>
      </c>
      <c r="BX156" s="197" t="s">
        <v>3842</v>
      </c>
      <c r="BY156" s="2" t="s">
        <v>3843</v>
      </c>
      <c r="BZ156" s="2" t="s">
        <v>3844</v>
      </c>
      <c r="CA156" s="2" t="s">
        <v>3845</v>
      </c>
      <c r="CB156" s="3" t="s">
        <v>3368</v>
      </c>
      <c r="CC156" s="197" t="s">
        <v>2242</v>
      </c>
      <c r="CD156" s="197" t="s">
        <v>2668</v>
      </c>
      <c r="CE156" s="7" t="s">
        <v>3346</v>
      </c>
      <c r="CF156" s="2" t="s">
        <v>184</v>
      </c>
      <c r="CG156" s="2" t="s">
        <v>3876</v>
      </c>
      <c r="CH156" s="3" t="s">
        <v>3846</v>
      </c>
      <c r="CI156" s="197" t="s">
        <v>2243</v>
      </c>
      <c r="CJ156" s="197" t="s">
        <v>3417</v>
      </c>
      <c r="CK156" s="7" t="s">
        <v>3015</v>
      </c>
      <c r="CL156" s="2" t="s">
        <v>3014</v>
      </c>
      <c r="CM156" s="2" t="s">
        <v>658</v>
      </c>
      <c r="CN156" s="3" t="s">
        <v>3418</v>
      </c>
      <c r="CO156" s="405" t="s">
        <v>2244</v>
      </c>
      <c r="CP156" s="197" t="s">
        <v>2662</v>
      </c>
      <c r="CQ156" s="2" t="s">
        <v>2941</v>
      </c>
      <c r="CR156" s="2" t="s">
        <v>2942</v>
      </c>
      <c r="CS156" s="2" t="s">
        <v>2943</v>
      </c>
      <c r="CT156" s="3" t="s">
        <v>2944</v>
      </c>
      <c r="CU156" s="405" t="s">
        <v>2245</v>
      </c>
      <c r="CV156" s="197" t="s">
        <v>2691</v>
      </c>
      <c r="CW156" s="7" t="s">
        <v>2960</v>
      </c>
      <c r="CX156" s="2" t="s">
        <v>2345</v>
      </c>
      <c r="CY156" s="2" t="s">
        <v>2346</v>
      </c>
      <c r="CZ156" s="3" t="s">
        <v>2347</v>
      </c>
      <c r="DA156" s="405" t="s">
        <v>2246</v>
      </c>
      <c r="DB156" s="197" t="s">
        <v>2164</v>
      </c>
      <c r="DC156" s="2" t="s">
        <v>2167</v>
      </c>
      <c r="DD156" s="2" t="s">
        <v>500</v>
      </c>
      <c r="DE156" s="2" t="s">
        <v>2165</v>
      </c>
      <c r="DF156" s="3" t="s">
        <v>503</v>
      </c>
      <c r="DG156" s="405" t="s">
        <v>827</v>
      </c>
      <c r="DH156" s="197" t="s">
        <v>579</v>
      </c>
      <c r="DI156" s="2" t="s">
        <v>3466</v>
      </c>
      <c r="DJ156" s="2" t="s">
        <v>3467</v>
      </c>
      <c r="DK156" s="1" t="s">
        <v>3468</v>
      </c>
      <c r="DL156" s="3" t="s">
        <v>3469</v>
      </c>
      <c r="DM156" s="405" t="s">
        <v>828</v>
      </c>
      <c r="DN156" s="197" t="s">
        <v>579</v>
      </c>
      <c r="DO156" s="2" t="s">
        <v>484</v>
      </c>
      <c r="DP156" s="2" t="s">
        <v>3470</v>
      </c>
      <c r="DQ156" s="1" t="s">
        <v>3471</v>
      </c>
      <c r="DR156" s="3" t="s">
        <v>486</v>
      </c>
      <c r="DS156" s="197" t="s">
        <v>2570</v>
      </c>
      <c r="DT156" s="197" t="s">
        <v>2733</v>
      </c>
      <c r="DU156" s="2" t="s">
        <v>1349</v>
      </c>
      <c r="DV156" s="1" t="s">
        <v>650</v>
      </c>
      <c r="DW156" s="1" t="s">
        <v>1350</v>
      </c>
      <c r="DX156" s="3" t="s">
        <v>181</v>
      </c>
      <c r="DY156" s="405" t="s">
        <v>2252</v>
      </c>
      <c r="DZ156" s="197" t="s">
        <v>4079</v>
      </c>
      <c r="EA156" s="2" t="s">
        <v>3087</v>
      </c>
      <c r="EB156" s="2" t="s">
        <v>2112</v>
      </c>
      <c r="EC156" s="2" t="s">
        <v>3797</v>
      </c>
      <c r="ED156" s="3" t="s">
        <v>3796</v>
      </c>
      <c r="EE156" s="405" t="s">
        <v>399</v>
      </c>
      <c r="EF156" s="197" t="s">
        <v>2172</v>
      </c>
      <c r="EG156" s="1" t="s">
        <v>3780</v>
      </c>
      <c r="EH156" s="1" t="s">
        <v>3779</v>
      </c>
      <c r="EI156" s="1" t="s">
        <v>3423</v>
      </c>
      <c r="EJ156" s="3" t="s">
        <v>3778</v>
      </c>
      <c r="EK156" s="405" t="s">
        <v>2253</v>
      </c>
      <c r="EL156" s="197" t="s">
        <v>1838</v>
      </c>
      <c r="EM156" s="7" t="s">
        <v>3792</v>
      </c>
      <c r="EN156" s="2" t="s">
        <v>2953</v>
      </c>
      <c r="EO156" s="2" t="s">
        <v>2954</v>
      </c>
      <c r="EP156" s="3" t="s">
        <v>3016</v>
      </c>
      <c r="EQ156" s="405"/>
      <c r="ER156" s="197"/>
      <c r="ES156" s="2"/>
      <c r="ET156" s="2"/>
      <c r="EU156" s="2"/>
      <c r="EV156" s="3"/>
      <c r="EW156" s="405"/>
      <c r="EX156" s="197"/>
      <c r="EY156" s="2"/>
      <c r="EZ156" s="2"/>
      <c r="FA156" s="2"/>
      <c r="FB156" s="3"/>
      <c r="FC156" s="405"/>
      <c r="FD156" s="197"/>
      <c r="FE156" s="2"/>
      <c r="FF156" s="2"/>
      <c r="FG156" s="2"/>
      <c r="FH156" s="3"/>
      <c r="FI156" s="405"/>
      <c r="FJ156" s="197"/>
      <c r="FK156" s="2"/>
      <c r="FL156" s="2"/>
      <c r="FM156" s="2"/>
      <c r="FN156" s="3"/>
      <c r="FO156" s="405"/>
      <c r="FP156" s="197"/>
      <c r="FQ156" s="2"/>
      <c r="FR156" s="2"/>
      <c r="FS156" s="2"/>
      <c r="FT156" s="3"/>
      <c r="FU156" s="405"/>
      <c r="FV156" s="197"/>
      <c r="FW156" s="2"/>
      <c r="FX156" s="2"/>
      <c r="FY156" s="2"/>
      <c r="FZ156" s="3"/>
      <c r="GA156" s="405"/>
      <c r="GB156" s="197"/>
      <c r="GC156" s="2"/>
      <c r="GD156" s="2"/>
      <c r="GE156" s="2"/>
      <c r="GF156" s="3"/>
      <c r="GG156" s="405"/>
      <c r="GH156" s="197"/>
      <c r="GI156" s="2"/>
      <c r="GJ156" s="2"/>
      <c r="GK156" s="2"/>
      <c r="GL156" s="3"/>
      <c r="GM156" s="405"/>
      <c r="GN156" s="197"/>
      <c r="GO156" s="2"/>
      <c r="GP156" s="2"/>
      <c r="GQ156" s="2"/>
      <c r="GR156" s="3"/>
      <c r="GS156" s="405"/>
      <c r="GT156" s="197"/>
      <c r="GU156" s="2"/>
      <c r="GV156" s="2"/>
      <c r="GW156" s="2"/>
      <c r="GX156" s="3"/>
      <c r="GY156" s="405"/>
      <c r="GZ156" s="197"/>
      <c r="HA156" s="2"/>
      <c r="HB156" s="2"/>
      <c r="HC156" s="2"/>
      <c r="HD156" s="3"/>
      <c r="HE156" s="405"/>
      <c r="HF156" s="197"/>
      <c r="HG156" s="2"/>
      <c r="HH156" s="2"/>
      <c r="HI156" s="2"/>
      <c r="HJ156" s="3"/>
      <c r="HK156" s="405"/>
      <c r="HL156" s="197"/>
      <c r="HM156" s="2"/>
      <c r="HN156" s="2"/>
      <c r="HO156" s="2"/>
      <c r="HP156" s="3"/>
      <c r="HQ156" s="405"/>
      <c r="HR156" s="197"/>
      <c r="HS156" s="2"/>
      <c r="HT156" s="2"/>
      <c r="HU156" s="2"/>
      <c r="HV156" s="3"/>
      <c r="HW156" s="405"/>
      <c r="HX156" s="197"/>
      <c r="HY156" s="2"/>
      <c r="HZ156" s="2"/>
      <c r="IA156" s="2"/>
      <c r="IB156" s="3"/>
      <c r="IC156" s="405"/>
      <c r="ID156" s="197"/>
      <c r="IE156" s="2"/>
      <c r="IF156" s="2"/>
      <c r="IG156" s="2"/>
      <c r="IH156" s="3"/>
      <c r="II156" s="405"/>
      <c r="IJ156" s="197"/>
      <c r="IK156" s="2"/>
      <c r="IL156" s="2"/>
      <c r="IM156" s="2"/>
      <c r="IN156" s="3"/>
      <c r="IO156" s="405"/>
      <c r="IP156" s="197"/>
      <c r="IQ156" s="2"/>
      <c r="IR156" s="2"/>
      <c r="IS156" s="2"/>
      <c r="IT156" s="3"/>
    </row>
    <row r="157" spans="1:254" s="507" customFormat="1" ht="12.9" customHeight="1" x14ac:dyDescent="0.2">
      <c r="A157" s="505" t="str">
        <f>+'Past Quartets 1st - 3rd Place'!A167</f>
        <v>1998 P</v>
      </c>
      <c r="B157" s="503">
        <f>+'Past Quartets 1st - 3rd Place'!B167</f>
        <v>38</v>
      </c>
      <c r="C157" s="197" t="s">
        <v>1630</v>
      </c>
      <c r="D157" s="197" t="s">
        <v>1631</v>
      </c>
      <c r="E157" s="2" t="s">
        <v>3283</v>
      </c>
      <c r="F157" s="1" t="s">
        <v>132</v>
      </c>
      <c r="G157" s="1" t="s">
        <v>1308</v>
      </c>
      <c r="H157" s="1" t="s">
        <v>265</v>
      </c>
      <c r="I157" s="197" t="s">
        <v>1066</v>
      </c>
      <c r="J157" s="197" t="s">
        <v>1401</v>
      </c>
      <c r="K157" s="7" t="s">
        <v>3671</v>
      </c>
      <c r="L157" s="2" t="s">
        <v>662</v>
      </c>
      <c r="M157" s="2" t="s">
        <v>1404</v>
      </c>
      <c r="N157" s="3" t="s">
        <v>1067</v>
      </c>
      <c r="O157" s="197" t="s">
        <v>3573</v>
      </c>
      <c r="P157" s="197" t="s">
        <v>1402</v>
      </c>
      <c r="Q157" s="2" t="s">
        <v>3575</v>
      </c>
      <c r="R157" s="2" t="s">
        <v>3576</v>
      </c>
      <c r="S157" s="2" t="s">
        <v>3563</v>
      </c>
      <c r="T157" s="3" t="s">
        <v>3577</v>
      </c>
      <c r="U157" s="197" t="s">
        <v>2135</v>
      </c>
      <c r="V157" s="197" t="s">
        <v>4041</v>
      </c>
      <c r="W157" s="2" t="s">
        <v>4056</v>
      </c>
      <c r="X157" s="2" t="s">
        <v>2136</v>
      </c>
      <c r="Y157" s="2" t="s">
        <v>808</v>
      </c>
      <c r="Z157" s="3" t="s">
        <v>4045</v>
      </c>
      <c r="AA157" s="197" t="s">
        <v>1309</v>
      </c>
      <c r="AB157" s="245" t="s">
        <v>1310</v>
      </c>
      <c r="AC157" s="7" t="s">
        <v>1311</v>
      </c>
      <c r="AD157" s="2" t="s">
        <v>1312</v>
      </c>
      <c r="AE157" s="2" t="s">
        <v>816</v>
      </c>
      <c r="AF157" s="3" t="s">
        <v>2746</v>
      </c>
      <c r="AG157" s="197" t="s">
        <v>3296</v>
      </c>
      <c r="AH157" s="197" t="s">
        <v>3292</v>
      </c>
      <c r="AI157" s="2" t="s">
        <v>145</v>
      </c>
      <c r="AJ157" s="2" t="s">
        <v>146</v>
      </c>
      <c r="AK157" s="2" t="s">
        <v>1615</v>
      </c>
      <c r="AL157" s="3" t="s">
        <v>2950</v>
      </c>
      <c r="AM157" s="197" t="s">
        <v>3101</v>
      </c>
      <c r="AN157" s="197" t="s">
        <v>579</v>
      </c>
      <c r="AO157" s="1" t="s">
        <v>822</v>
      </c>
      <c r="AP157" s="1" t="s">
        <v>823</v>
      </c>
      <c r="AQ157" s="1" t="s">
        <v>440</v>
      </c>
      <c r="AR157" s="3" t="s">
        <v>427</v>
      </c>
      <c r="AS157" s="197" t="s">
        <v>1623</v>
      </c>
      <c r="AT157" s="197" t="s">
        <v>4179</v>
      </c>
      <c r="AU157" s="2" t="s">
        <v>439</v>
      </c>
      <c r="AV157" s="2" t="s">
        <v>1626</v>
      </c>
      <c r="AW157" s="2" t="s">
        <v>1627</v>
      </c>
      <c r="AX157" s="3" t="s">
        <v>1628</v>
      </c>
      <c r="AY157" s="197" t="s">
        <v>2137</v>
      </c>
      <c r="AZ157" s="197" t="s">
        <v>579</v>
      </c>
      <c r="BA157" s="2" t="s">
        <v>2138</v>
      </c>
      <c r="BB157" s="2" t="s">
        <v>2139</v>
      </c>
      <c r="BC157" s="2" t="s">
        <v>2140</v>
      </c>
      <c r="BD157" s="3" t="s">
        <v>2141</v>
      </c>
      <c r="BE157" s="197" t="s">
        <v>2348</v>
      </c>
      <c r="BF157" s="249" t="s">
        <v>148</v>
      </c>
      <c r="BG157" s="10" t="s">
        <v>2349</v>
      </c>
      <c r="BH157" s="8" t="s">
        <v>2350</v>
      </c>
      <c r="BI157" s="8" t="s">
        <v>2351</v>
      </c>
      <c r="BJ157" s="6" t="s">
        <v>2536</v>
      </c>
      <c r="BK157" s="197" t="s">
        <v>2242</v>
      </c>
      <c r="BL157" s="197" t="s">
        <v>2668</v>
      </c>
      <c r="BM157" s="7" t="s">
        <v>3846</v>
      </c>
      <c r="BN157" s="2" t="s">
        <v>184</v>
      </c>
      <c r="BO157" s="2" t="s">
        <v>3876</v>
      </c>
      <c r="BP157" s="3" t="s">
        <v>3346</v>
      </c>
      <c r="BQ157" s="197" t="s">
        <v>2096</v>
      </c>
      <c r="BR157" s="197" t="s">
        <v>1879</v>
      </c>
      <c r="BS157" s="2" t="s">
        <v>1462</v>
      </c>
      <c r="BT157" s="2" t="s">
        <v>2160</v>
      </c>
      <c r="BU157" s="2" t="s">
        <v>1463</v>
      </c>
      <c r="BV157" s="3" t="s">
        <v>690</v>
      </c>
      <c r="BW157" s="197" t="s">
        <v>3589</v>
      </c>
      <c r="BX157" s="197" t="s">
        <v>2029</v>
      </c>
      <c r="BY157" s="7" t="s">
        <v>3870</v>
      </c>
      <c r="BZ157" s="2" t="s">
        <v>182</v>
      </c>
      <c r="CA157" s="2" t="s">
        <v>3613</v>
      </c>
      <c r="CB157" s="3" t="s">
        <v>1411</v>
      </c>
      <c r="CC157" s="405" t="s">
        <v>2612</v>
      </c>
      <c r="CD157" s="197" t="s">
        <v>4041</v>
      </c>
      <c r="CE157" s="7" t="s">
        <v>264</v>
      </c>
      <c r="CF157" s="2" t="s">
        <v>1408</v>
      </c>
      <c r="CG157" s="2" t="s">
        <v>1409</v>
      </c>
      <c r="CH157" s="3" t="s">
        <v>1410</v>
      </c>
      <c r="CI157" s="197" t="s">
        <v>3592</v>
      </c>
      <c r="CJ157" s="197" t="s">
        <v>2728</v>
      </c>
      <c r="CK157" s="2" t="s">
        <v>2793</v>
      </c>
      <c r="CL157" s="2" t="s">
        <v>2729</v>
      </c>
      <c r="CM157" s="2" t="s">
        <v>2730</v>
      </c>
      <c r="CN157" s="3" t="s">
        <v>2731</v>
      </c>
      <c r="CO157" s="197" t="s">
        <v>2613</v>
      </c>
      <c r="CP157" s="197" t="s">
        <v>700</v>
      </c>
      <c r="CQ157" s="7" t="s">
        <v>3257</v>
      </c>
      <c r="CR157" s="2" t="s">
        <v>3348</v>
      </c>
      <c r="CS157" s="2" t="s">
        <v>3881</v>
      </c>
      <c r="CT157" s="3" t="s">
        <v>3793</v>
      </c>
      <c r="CU157" s="197" t="s">
        <v>2614</v>
      </c>
      <c r="CV157" s="197" t="s">
        <v>1838</v>
      </c>
      <c r="CW157" s="2" t="s">
        <v>1839</v>
      </c>
      <c r="CX157" s="2" t="s">
        <v>430</v>
      </c>
      <c r="CY157" s="2" t="s">
        <v>431</v>
      </c>
      <c r="CZ157" s="3" t="s">
        <v>432</v>
      </c>
      <c r="DA157" s="197" t="s">
        <v>3098</v>
      </c>
      <c r="DB157" s="197" t="s">
        <v>3842</v>
      </c>
      <c r="DC157" s="2" t="s">
        <v>3843</v>
      </c>
      <c r="DD157" s="2" t="s">
        <v>3844</v>
      </c>
      <c r="DE157" s="2" t="s">
        <v>3845</v>
      </c>
      <c r="DF157" s="3" t="s">
        <v>3368</v>
      </c>
      <c r="DG157" s="197" t="s">
        <v>2244</v>
      </c>
      <c r="DH157" s="197" t="s">
        <v>2662</v>
      </c>
      <c r="DI157" s="2" t="s">
        <v>2941</v>
      </c>
      <c r="DJ157" s="2" t="s">
        <v>2942</v>
      </c>
      <c r="DK157" s="2" t="s">
        <v>2943</v>
      </c>
      <c r="DL157" s="3" t="s">
        <v>2944</v>
      </c>
      <c r="DM157" s="197" t="s">
        <v>2615</v>
      </c>
      <c r="DN157" s="197" t="s">
        <v>148</v>
      </c>
      <c r="DO157" s="7" t="s">
        <v>1386</v>
      </c>
      <c r="DP157" s="2" t="s">
        <v>3549</v>
      </c>
      <c r="DQ157" s="2" t="s">
        <v>3419</v>
      </c>
      <c r="DR157" s="3" t="s">
        <v>1385</v>
      </c>
      <c r="DS157" s="405" t="s">
        <v>2246</v>
      </c>
      <c r="DT157" s="197" t="s">
        <v>2164</v>
      </c>
      <c r="DU157" s="2" t="s">
        <v>2167</v>
      </c>
      <c r="DV157" s="2" t="s">
        <v>500</v>
      </c>
      <c r="DW157" s="2" t="s">
        <v>2165</v>
      </c>
      <c r="DX157" s="3" t="s">
        <v>503</v>
      </c>
      <c r="DY157" s="197" t="s">
        <v>2616</v>
      </c>
      <c r="DZ157" s="197" t="s">
        <v>2691</v>
      </c>
      <c r="EA157" s="7" t="s">
        <v>2960</v>
      </c>
      <c r="EB157" s="2" t="s">
        <v>3097</v>
      </c>
      <c r="EC157" s="2" t="s">
        <v>3096</v>
      </c>
      <c r="ED157" s="3" t="s">
        <v>3422</v>
      </c>
      <c r="EE157" s="197" t="s">
        <v>2617</v>
      </c>
      <c r="EF157" s="197" t="s">
        <v>1879</v>
      </c>
      <c r="EG157" s="7" t="s">
        <v>1496</v>
      </c>
      <c r="EH157" s="2" t="s">
        <v>1265</v>
      </c>
      <c r="EI157" s="2" t="s">
        <v>1495</v>
      </c>
      <c r="EJ157" s="3" t="s">
        <v>1494</v>
      </c>
      <c r="EK157" s="197" t="s">
        <v>2253</v>
      </c>
      <c r="EL157" s="197" t="s">
        <v>1838</v>
      </c>
      <c r="EM157" s="7" t="s">
        <v>3792</v>
      </c>
      <c r="EN157" s="2" t="s">
        <v>2953</v>
      </c>
      <c r="EO157" s="2" t="s">
        <v>2954</v>
      </c>
      <c r="EP157" s="3" t="s">
        <v>3016</v>
      </c>
      <c r="EQ157" s="197" t="s">
        <v>2638</v>
      </c>
      <c r="ER157" s="197" t="s">
        <v>2639</v>
      </c>
      <c r="ES157" s="7" t="s">
        <v>3925</v>
      </c>
      <c r="ET157" s="2" t="s">
        <v>3787</v>
      </c>
      <c r="EU157" s="2" t="s">
        <v>2642</v>
      </c>
      <c r="EV157" s="3" t="s">
        <v>2643</v>
      </c>
      <c r="EW157" s="197" t="s">
        <v>2618</v>
      </c>
      <c r="EX157" s="197" t="s">
        <v>3425</v>
      </c>
      <c r="EY157" s="7" t="s">
        <v>2583</v>
      </c>
      <c r="EZ157" s="2" t="s">
        <v>2588</v>
      </c>
      <c r="FA157" s="2" t="s">
        <v>2587</v>
      </c>
      <c r="FB157" s="3" t="s">
        <v>3426</v>
      </c>
      <c r="FC157" s="197" t="s">
        <v>1325</v>
      </c>
      <c r="FD157" s="197" t="s">
        <v>1406</v>
      </c>
      <c r="FE157" s="7" t="s">
        <v>4617</v>
      </c>
      <c r="FF157" s="2" t="s">
        <v>1516</v>
      </c>
      <c r="FG157" s="2" t="s">
        <v>1341</v>
      </c>
      <c r="FH157" s="3" t="s">
        <v>1407</v>
      </c>
      <c r="FI157" s="197" t="s">
        <v>2619</v>
      </c>
      <c r="FJ157" s="197" t="s">
        <v>3473</v>
      </c>
      <c r="FK157" s="7" t="s">
        <v>2265</v>
      </c>
      <c r="FL157" s="2" t="s">
        <v>3427</v>
      </c>
      <c r="FM157" s="2" t="s">
        <v>2940</v>
      </c>
      <c r="FN157" s="3" t="s">
        <v>3882</v>
      </c>
      <c r="FO157" s="197" t="s">
        <v>2356</v>
      </c>
      <c r="FP157" s="197" t="s">
        <v>2668</v>
      </c>
      <c r="FQ157" s="2" t="s">
        <v>3874</v>
      </c>
      <c r="FR157" s="2" t="s">
        <v>1420</v>
      </c>
      <c r="FS157" s="2" t="s">
        <v>1421</v>
      </c>
      <c r="FT157" s="2" t="s">
        <v>2675</v>
      </c>
      <c r="FU157" s="197" t="s">
        <v>827</v>
      </c>
      <c r="FV157" s="197" t="s">
        <v>579</v>
      </c>
      <c r="FW157" s="2" t="s">
        <v>3466</v>
      </c>
      <c r="FX157" s="2" t="s">
        <v>3467</v>
      </c>
      <c r="FY157" s="1" t="s">
        <v>3468</v>
      </c>
      <c r="FZ157" s="3" t="s">
        <v>3469</v>
      </c>
      <c r="GA157" s="197" t="s">
        <v>3428</v>
      </c>
      <c r="GB157" s="197" t="s">
        <v>3429</v>
      </c>
      <c r="GC157" s="7" t="s">
        <v>3430</v>
      </c>
      <c r="GD157" s="2" t="s">
        <v>1352</v>
      </c>
      <c r="GE157" s="2" t="s">
        <v>1354</v>
      </c>
      <c r="GF157" s="3" t="s">
        <v>1353</v>
      </c>
      <c r="GG157" s="197" t="s">
        <v>2620</v>
      </c>
      <c r="GH157" s="197" t="s">
        <v>2029</v>
      </c>
      <c r="GI157" s="7" t="s">
        <v>3786</v>
      </c>
      <c r="GJ157" s="2" t="s">
        <v>3427</v>
      </c>
      <c r="GK157" s="2" t="s">
        <v>1255</v>
      </c>
      <c r="GL157" s="3" t="s">
        <v>2970</v>
      </c>
      <c r="GM157" s="197"/>
      <c r="GN157" s="197"/>
      <c r="GO157" s="7"/>
      <c r="GP157" s="2"/>
      <c r="GQ157" s="2"/>
      <c r="GR157" s="3"/>
      <c r="GS157" s="197"/>
      <c r="GT157" s="197"/>
      <c r="GU157" s="7"/>
      <c r="GV157" s="2"/>
      <c r="GW157" s="2"/>
      <c r="GX157" s="3"/>
      <c r="GY157" s="197"/>
      <c r="GZ157" s="197"/>
      <c r="HA157" s="7"/>
      <c r="HB157" s="2"/>
      <c r="HC157" s="2"/>
      <c r="HD157" s="3"/>
      <c r="HE157" s="197"/>
      <c r="HF157" s="197"/>
      <c r="HG157" s="7"/>
      <c r="HH157" s="2"/>
      <c r="HI157" s="2"/>
      <c r="HJ157" s="3"/>
      <c r="HK157" s="197"/>
      <c r="HL157" s="197"/>
      <c r="HM157" s="7"/>
      <c r="HN157" s="2"/>
      <c r="HO157" s="2"/>
      <c r="HP157" s="3"/>
      <c r="HQ157" s="197"/>
      <c r="HR157" s="197"/>
      <c r="HS157" s="7"/>
      <c r="HT157" s="2"/>
      <c r="HU157" s="2"/>
      <c r="HV157" s="3"/>
      <c r="HW157" s="197"/>
      <c r="HX157" s="197"/>
      <c r="HY157" s="7"/>
      <c r="HZ157" s="2"/>
      <c r="IA157" s="2"/>
      <c r="IB157" s="3"/>
      <c r="IC157" s="197"/>
      <c r="ID157" s="197"/>
      <c r="IE157" s="7"/>
      <c r="IF157" s="2"/>
      <c r="IG157" s="2"/>
      <c r="IH157" s="3"/>
      <c r="II157" s="197"/>
      <c r="IJ157" s="197"/>
      <c r="IK157" s="7"/>
      <c r="IL157" s="2"/>
      <c r="IM157" s="2"/>
      <c r="IN157" s="3"/>
      <c r="IO157" s="197"/>
      <c r="IP157" s="197"/>
      <c r="IQ157" s="7"/>
      <c r="IR157" s="2"/>
      <c r="IS157" s="2"/>
      <c r="IT157" s="3"/>
    </row>
    <row r="158" spans="1:254" s="507" customFormat="1" ht="12.9" customHeight="1" x14ac:dyDescent="0.2">
      <c r="A158" s="505" t="str">
        <f>+'Past Quartets 1st - 3rd Place'!A168</f>
        <v>1999 P</v>
      </c>
      <c r="B158" s="503">
        <f>+'Past Quartets 1st - 3rd Place'!B168</f>
        <v>31</v>
      </c>
      <c r="C158" s="197" t="s">
        <v>818</v>
      </c>
      <c r="D158" s="197" t="s">
        <v>517</v>
      </c>
      <c r="E158" s="2" t="s">
        <v>819</v>
      </c>
      <c r="F158" s="2" t="s">
        <v>662</v>
      </c>
      <c r="G158" s="2" t="s">
        <v>820</v>
      </c>
      <c r="H158" s="3" t="s">
        <v>3519</v>
      </c>
      <c r="I158" s="197" t="s">
        <v>2621</v>
      </c>
      <c r="J158" s="245" t="s">
        <v>1403</v>
      </c>
      <c r="K158" s="7" t="s">
        <v>3671</v>
      </c>
      <c r="L158" s="2" t="s">
        <v>2139</v>
      </c>
      <c r="M158" s="2" t="s">
        <v>2140</v>
      </c>
      <c r="N158" s="3" t="s">
        <v>1404</v>
      </c>
      <c r="O158" s="197" t="s">
        <v>815</v>
      </c>
      <c r="P158" s="245" t="s">
        <v>2361</v>
      </c>
      <c r="Q158" s="2" t="s">
        <v>3687</v>
      </c>
      <c r="R158" s="2" t="s">
        <v>3688</v>
      </c>
      <c r="S158" s="2" t="s">
        <v>3689</v>
      </c>
      <c r="T158" s="3" t="s">
        <v>3690</v>
      </c>
      <c r="U158" s="197" t="s">
        <v>2135</v>
      </c>
      <c r="V158" s="197" t="s">
        <v>4041</v>
      </c>
      <c r="W158" s="2" t="s">
        <v>4056</v>
      </c>
      <c r="X158" s="2" t="s">
        <v>2136</v>
      </c>
      <c r="Y158" s="2" t="s">
        <v>808</v>
      </c>
      <c r="Z158" s="3" t="s">
        <v>4045</v>
      </c>
      <c r="AA158" s="197" t="s">
        <v>48</v>
      </c>
      <c r="AB158" s="197" t="s">
        <v>49</v>
      </c>
      <c r="AC158" s="2" t="s">
        <v>458</v>
      </c>
      <c r="AD158" s="2" t="s">
        <v>2705</v>
      </c>
      <c r="AE158" s="2" t="s">
        <v>2706</v>
      </c>
      <c r="AF158" s="3" t="s">
        <v>4068</v>
      </c>
      <c r="AG158" s="197" t="s">
        <v>2622</v>
      </c>
      <c r="AH158" s="197" t="s">
        <v>1406</v>
      </c>
      <c r="AI158" s="2" t="s">
        <v>1407</v>
      </c>
      <c r="AJ158" s="2" t="s">
        <v>2331</v>
      </c>
      <c r="AK158" s="2" t="s">
        <v>1615</v>
      </c>
      <c r="AL158" s="3" t="s">
        <v>2950</v>
      </c>
      <c r="AM158" s="197" t="s">
        <v>3582</v>
      </c>
      <c r="AN158" s="197" t="s">
        <v>3357</v>
      </c>
      <c r="AO158" s="7" t="s">
        <v>735</v>
      </c>
      <c r="AP158" s="2" t="s">
        <v>3552</v>
      </c>
      <c r="AQ158" s="2" t="s">
        <v>2308</v>
      </c>
      <c r="AR158" s="3" t="s">
        <v>3555</v>
      </c>
      <c r="AS158" s="197" t="s">
        <v>3589</v>
      </c>
      <c r="AT158" s="197" t="s">
        <v>2029</v>
      </c>
      <c r="AU158" s="7" t="s">
        <v>3870</v>
      </c>
      <c r="AV158" s="2" t="s">
        <v>182</v>
      </c>
      <c r="AW158" s="2" t="s">
        <v>3613</v>
      </c>
      <c r="AX158" s="3" t="s">
        <v>1411</v>
      </c>
      <c r="AY158" s="197" t="s">
        <v>2612</v>
      </c>
      <c r="AZ158" s="197" t="s">
        <v>4041</v>
      </c>
      <c r="BA158" s="7" t="s">
        <v>264</v>
      </c>
      <c r="BB158" s="2" t="s">
        <v>1408</v>
      </c>
      <c r="BC158" s="2" t="s">
        <v>1409</v>
      </c>
      <c r="BD158" s="3" t="s">
        <v>1410</v>
      </c>
      <c r="BE158" s="197" t="s">
        <v>2623</v>
      </c>
      <c r="BF158" s="197" t="s">
        <v>2168</v>
      </c>
      <c r="BG158" s="2" t="s">
        <v>3941</v>
      </c>
      <c r="BH158" s="1" t="s">
        <v>2175</v>
      </c>
      <c r="BI158" s="1" t="s">
        <v>3249</v>
      </c>
      <c r="BJ158" s="1" t="s">
        <v>3942</v>
      </c>
      <c r="BK158" s="197" t="s">
        <v>3101</v>
      </c>
      <c r="BL158" s="197" t="s">
        <v>579</v>
      </c>
      <c r="BM158" s="1" t="s">
        <v>822</v>
      </c>
      <c r="BN158" s="1" t="s">
        <v>823</v>
      </c>
      <c r="BO158" s="1" t="s">
        <v>1830</v>
      </c>
      <c r="BP158" s="3" t="s">
        <v>427</v>
      </c>
      <c r="BQ158" s="197" t="s">
        <v>2348</v>
      </c>
      <c r="BR158" s="249" t="s">
        <v>148</v>
      </c>
      <c r="BS158" s="10" t="s">
        <v>2349</v>
      </c>
      <c r="BT158" s="8" t="s">
        <v>2350</v>
      </c>
      <c r="BU158" s="8" t="s">
        <v>2351</v>
      </c>
      <c r="BV158" s="6" t="s">
        <v>2536</v>
      </c>
      <c r="BW158" s="197" t="s">
        <v>2242</v>
      </c>
      <c r="BX158" s="197" t="s">
        <v>2668</v>
      </c>
      <c r="BY158" s="7" t="s">
        <v>3346</v>
      </c>
      <c r="BZ158" s="2" t="s">
        <v>184</v>
      </c>
      <c r="CA158" s="2" t="s">
        <v>3876</v>
      </c>
      <c r="CB158" s="3" t="s">
        <v>3846</v>
      </c>
      <c r="CC158" s="197" t="s">
        <v>2570</v>
      </c>
      <c r="CD158" s="197" t="s">
        <v>2733</v>
      </c>
      <c r="CE158" s="2" t="s">
        <v>1349</v>
      </c>
      <c r="CF158" s="1" t="s">
        <v>650</v>
      </c>
      <c r="CG158" s="1" t="s">
        <v>1350</v>
      </c>
      <c r="CH158" s="3" t="s">
        <v>181</v>
      </c>
      <c r="CI158" s="197" t="s">
        <v>2614</v>
      </c>
      <c r="CJ158" s="197" t="s">
        <v>1838</v>
      </c>
      <c r="CK158" s="2" t="s">
        <v>1839</v>
      </c>
      <c r="CL158" s="2" t="s">
        <v>430</v>
      </c>
      <c r="CM158" s="2" t="s">
        <v>431</v>
      </c>
      <c r="CN158" s="3" t="s">
        <v>432</v>
      </c>
      <c r="CO158" s="197" t="s">
        <v>2613</v>
      </c>
      <c r="CP158" s="197" t="s">
        <v>700</v>
      </c>
      <c r="CQ158" s="7" t="s">
        <v>3257</v>
      </c>
      <c r="CR158" s="2" t="s">
        <v>3348</v>
      </c>
      <c r="CS158" s="2" t="s">
        <v>3881</v>
      </c>
      <c r="CT158" s="3" t="s">
        <v>3793</v>
      </c>
      <c r="CU158" s="197" t="s">
        <v>2356</v>
      </c>
      <c r="CV158" s="197" t="s">
        <v>2668</v>
      </c>
      <c r="CW158" s="2" t="s">
        <v>3874</v>
      </c>
      <c r="CX158" s="2" t="s">
        <v>1420</v>
      </c>
      <c r="CY158" s="2" t="s">
        <v>1421</v>
      </c>
      <c r="CZ158" s="2" t="s">
        <v>2675</v>
      </c>
      <c r="DA158" s="197" t="s">
        <v>2244</v>
      </c>
      <c r="DB158" s="197" t="s">
        <v>2662</v>
      </c>
      <c r="DC158" s="2" t="s">
        <v>2941</v>
      </c>
      <c r="DD158" s="2" t="s">
        <v>2942</v>
      </c>
      <c r="DE158" s="2" t="s">
        <v>2943</v>
      </c>
      <c r="DF158" s="3" t="s">
        <v>2944</v>
      </c>
      <c r="DG158" s="197" t="s">
        <v>2624</v>
      </c>
      <c r="DH158" s="197" t="s">
        <v>2168</v>
      </c>
      <c r="DI158" s="7" t="s">
        <v>4052</v>
      </c>
      <c r="DJ158" s="2" t="s">
        <v>3795</v>
      </c>
      <c r="DK158" s="2" t="s">
        <v>346</v>
      </c>
      <c r="DL158" s="3" t="s">
        <v>3794</v>
      </c>
      <c r="DM158" s="197" t="s">
        <v>3098</v>
      </c>
      <c r="DN158" s="197" t="s">
        <v>3842</v>
      </c>
      <c r="DO158" s="2" t="s">
        <v>3843</v>
      </c>
      <c r="DP158" s="2" t="s">
        <v>3844</v>
      </c>
      <c r="DQ158" s="2" t="s">
        <v>3845</v>
      </c>
      <c r="DR158" s="3" t="s">
        <v>3368</v>
      </c>
      <c r="DS158" s="197" t="s">
        <v>2638</v>
      </c>
      <c r="DT158" s="197" t="s">
        <v>2639</v>
      </c>
      <c r="DU158" s="7" t="s">
        <v>3925</v>
      </c>
      <c r="DV158" s="2" t="s">
        <v>3787</v>
      </c>
      <c r="DW158" s="2" t="s">
        <v>2642</v>
      </c>
      <c r="DX158" s="3" t="s">
        <v>2643</v>
      </c>
      <c r="DY158" s="197" t="s">
        <v>2737</v>
      </c>
      <c r="DZ158" s="197" t="s">
        <v>2146</v>
      </c>
      <c r="EA158" s="7" t="s">
        <v>3028</v>
      </c>
      <c r="EB158" s="2" t="s">
        <v>2655</v>
      </c>
      <c r="EC158" s="2" t="s">
        <v>2659</v>
      </c>
      <c r="ED158" s="3" t="s">
        <v>2660</v>
      </c>
      <c r="EE158" s="197" t="s">
        <v>2245</v>
      </c>
      <c r="EF158" s="197" t="s">
        <v>2691</v>
      </c>
      <c r="EG158" s="7" t="s">
        <v>2960</v>
      </c>
      <c r="EH158" s="2" t="s">
        <v>2345</v>
      </c>
      <c r="EI158" s="2" t="s">
        <v>2346</v>
      </c>
      <c r="EJ158" s="3" t="s">
        <v>2347</v>
      </c>
      <c r="EK158" s="197" t="s">
        <v>2644</v>
      </c>
      <c r="EL158" s="197" t="s">
        <v>3526</v>
      </c>
      <c r="EM158" s="7" t="s">
        <v>2645</v>
      </c>
      <c r="EN158" s="2" t="s">
        <v>2646</v>
      </c>
      <c r="EO158" s="2" t="s">
        <v>2647</v>
      </c>
      <c r="EP158" s="3" t="s">
        <v>2648</v>
      </c>
      <c r="EQ158" s="197" t="s">
        <v>866</v>
      </c>
      <c r="ER158" s="197" t="s">
        <v>2168</v>
      </c>
      <c r="ES158" s="7" t="s">
        <v>2584</v>
      </c>
      <c r="ET158" s="2" t="s">
        <v>2585</v>
      </c>
      <c r="EU158" s="2" t="s">
        <v>2586</v>
      </c>
      <c r="EV158" s="3" t="s">
        <v>3424</v>
      </c>
      <c r="EW158" s="197"/>
      <c r="EX158" s="197"/>
      <c r="EY158" s="7"/>
      <c r="EZ158" s="2"/>
      <c r="FA158" s="2"/>
      <c r="FB158" s="3"/>
      <c r="FC158" s="197"/>
      <c r="FD158" s="197"/>
      <c r="FE158" s="7"/>
      <c r="FF158" s="2"/>
      <c r="FG158" s="2"/>
      <c r="FH158" s="3"/>
      <c r="FI158" s="197"/>
      <c r="FJ158" s="197"/>
      <c r="FK158" s="7"/>
      <c r="FL158" s="2"/>
      <c r="FM158" s="2"/>
      <c r="FN158" s="3"/>
      <c r="FO158" s="197"/>
      <c r="FP158" s="197"/>
      <c r="FQ158" s="7"/>
      <c r="FR158" s="2"/>
      <c r="FS158" s="2"/>
      <c r="FT158" s="3"/>
      <c r="FU158" s="197"/>
      <c r="FV158" s="197"/>
      <c r="FW158" s="7"/>
      <c r="FX158" s="2"/>
      <c r="FY158" s="2"/>
      <c r="FZ158" s="3"/>
      <c r="GA158" s="197"/>
      <c r="GB158" s="197"/>
      <c r="GC158" s="7"/>
      <c r="GD158" s="2"/>
      <c r="GE158" s="2"/>
      <c r="GF158" s="3"/>
      <c r="GG158" s="197"/>
      <c r="GH158" s="197"/>
      <c r="GI158" s="7"/>
      <c r="GJ158" s="2"/>
      <c r="GK158" s="2"/>
      <c r="GL158" s="3"/>
      <c r="GM158" s="197"/>
      <c r="GN158" s="197"/>
      <c r="GO158" s="7"/>
      <c r="GP158" s="2"/>
      <c r="GQ158" s="2"/>
      <c r="GR158" s="3"/>
      <c r="GS158" s="197"/>
      <c r="GT158" s="197"/>
      <c r="GU158" s="7"/>
      <c r="GV158" s="2"/>
      <c r="GW158" s="2"/>
      <c r="GX158" s="3"/>
      <c r="GY158" s="197"/>
      <c r="GZ158" s="197"/>
      <c r="HA158" s="7"/>
      <c r="HB158" s="2"/>
      <c r="HC158" s="2"/>
      <c r="HD158" s="3"/>
      <c r="HE158" s="197"/>
      <c r="HF158" s="197"/>
      <c r="HG158" s="7"/>
      <c r="HH158" s="2"/>
      <c r="HI158" s="2"/>
      <c r="HJ158" s="3"/>
      <c r="HK158" s="197"/>
      <c r="HL158" s="197"/>
      <c r="HM158" s="7"/>
      <c r="HN158" s="2"/>
      <c r="HO158" s="2"/>
      <c r="HP158" s="3"/>
      <c r="HQ158" s="197"/>
      <c r="HR158" s="197"/>
      <c r="HS158" s="7"/>
      <c r="HT158" s="2"/>
      <c r="HU158" s="2"/>
      <c r="HV158" s="3"/>
      <c r="HW158" s="197"/>
      <c r="HX158" s="197"/>
      <c r="HY158" s="7"/>
      <c r="HZ158" s="2"/>
      <c r="IA158" s="2"/>
      <c r="IB158" s="3"/>
      <c r="IC158" s="197"/>
      <c r="ID158" s="197"/>
      <c r="IE158" s="7"/>
      <c r="IF158" s="2"/>
      <c r="IG158" s="2"/>
      <c r="IH158" s="3"/>
      <c r="II158" s="197"/>
      <c r="IJ158" s="197"/>
      <c r="IK158" s="7"/>
      <c r="IL158" s="2"/>
      <c r="IM158" s="2"/>
      <c r="IN158" s="3"/>
      <c r="IO158" s="197"/>
      <c r="IP158" s="197"/>
      <c r="IQ158" s="7"/>
      <c r="IR158" s="2"/>
      <c r="IS158" s="2"/>
      <c r="IT158" s="3"/>
    </row>
    <row r="159" spans="1:254" s="507" customFormat="1" ht="12.9" customHeight="1" x14ac:dyDescent="0.2">
      <c r="A159" s="505" t="str">
        <f>+'Past Quartets 1st - 3rd Place'!A169</f>
        <v>2000 P</v>
      </c>
      <c r="B159" s="503">
        <f>+'Past Quartets 1st - 3rd Place'!B169</f>
        <v>30</v>
      </c>
      <c r="C159" s="197" t="s">
        <v>2759</v>
      </c>
      <c r="D159" s="197" t="s">
        <v>2760</v>
      </c>
      <c r="E159" s="7" t="s">
        <v>433</v>
      </c>
      <c r="F159" s="2" t="s">
        <v>1626</v>
      </c>
      <c r="G159" s="2" t="s">
        <v>1627</v>
      </c>
      <c r="H159" s="3" t="s">
        <v>434</v>
      </c>
      <c r="I159" s="197" t="s">
        <v>3579</v>
      </c>
      <c r="J159" s="245" t="s">
        <v>1412</v>
      </c>
      <c r="K159" s="7" t="s">
        <v>3671</v>
      </c>
      <c r="L159" s="2" t="s">
        <v>2139</v>
      </c>
      <c r="M159" s="2" t="s">
        <v>2140</v>
      </c>
      <c r="N159" s="3" t="s">
        <v>3690</v>
      </c>
      <c r="O159" s="197" t="s">
        <v>2135</v>
      </c>
      <c r="P159" s="197" t="s">
        <v>4041</v>
      </c>
      <c r="Q159" s="2" t="s">
        <v>4056</v>
      </c>
      <c r="R159" s="2" t="s">
        <v>2136</v>
      </c>
      <c r="S159" s="2" t="s">
        <v>808</v>
      </c>
      <c r="T159" s="3" t="s">
        <v>4045</v>
      </c>
      <c r="U159" s="197" t="s">
        <v>3582</v>
      </c>
      <c r="V159" s="197" t="s">
        <v>3357</v>
      </c>
      <c r="W159" s="7" t="s">
        <v>735</v>
      </c>
      <c r="X159" s="2" t="s">
        <v>3552</v>
      </c>
      <c r="Y159" s="2" t="s">
        <v>2308</v>
      </c>
      <c r="Z159" s="3" t="s">
        <v>3555</v>
      </c>
      <c r="AA159" s="197" t="s">
        <v>818</v>
      </c>
      <c r="AB159" s="197" t="s">
        <v>517</v>
      </c>
      <c r="AC159" s="2" t="s">
        <v>819</v>
      </c>
      <c r="AD159" s="2" t="s">
        <v>662</v>
      </c>
      <c r="AE159" s="2" t="s">
        <v>820</v>
      </c>
      <c r="AF159" s="3" t="s">
        <v>3519</v>
      </c>
      <c r="AG159" s="197" t="s">
        <v>3298</v>
      </c>
      <c r="AH159" s="245" t="s">
        <v>4079</v>
      </c>
      <c r="AI159" s="2" t="s">
        <v>3575</v>
      </c>
      <c r="AJ159" s="2" t="s">
        <v>3576</v>
      </c>
      <c r="AK159" s="2" t="s">
        <v>3511</v>
      </c>
      <c r="AL159" s="3" t="s">
        <v>3543</v>
      </c>
      <c r="AM159" s="197" t="s">
        <v>3299</v>
      </c>
      <c r="AN159" s="197" t="s">
        <v>4177</v>
      </c>
      <c r="AO159" s="2" t="s">
        <v>2793</v>
      </c>
      <c r="AP159" s="2" t="s">
        <v>2729</v>
      </c>
      <c r="AQ159" s="2" t="s">
        <v>747</v>
      </c>
      <c r="AR159" s="2" t="s">
        <v>4033</v>
      </c>
      <c r="AS159" s="197" t="s">
        <v>3101</v>
      </c>
      <c r="AT159" s="197" t="s">
        <v>579</v>
      </c>
      <c r="AU159" s="7" t="s">
        <v>822</v>
      </c>
      <c r="AV159" s="2" t="s">
        <v>823</v>
      </c>
      <c r="AW159" s="2" t="s">
        <v>1830</v>
      </c>
      <c r="AX159" s="3" t="s">
        <v>427</v>
      </c>
      <c r="AY159" s="197" t="s">
        <v>3300</v>
      </c>
      <c r="AZ159" s="197" t="s">
        <v>3031</v>
      </c>
      <c r="BA159" s="7" t="s">
        <v>458</v>
      </c>
      <c r="BB159" s="2" t="s">
        <v>2949</v>
      </c>
      <c r="BC159" s="2" t="s">
        <v>816</v>
      </c>
      <c r="BD159" s="3" t="s">
        <v>2950</v>
      </c>
      <c r="BE159" s="197" t="s">
        <v>2612</v>
      </c>
      <c r="BF159" s="197" t="s">
        <v>4041</v>
      </c>
      <c r="BG159" s="7" t="s">
        <v>264</v>
      </c>
      <c r="BH159" s="2" t="s">
        <v>1408</v>
      </c>
      <c r="BI159" s="2" t="s">
        <v>1409</v>
      </c>
      <c r="BJ159" s="3" t="s">
        <v>1410</v>
      </c>
      <c r="BK159" s="197" t="s">
        <v>3098</v>
      </c>
      <c r="BL159" s="197" t="s">
        <v>3842</v>
      </c>
      <c r="BM159" s="2" t="s">
        <v>3843</v>
      </c>
      <c r="BN159" s="2" t="s">
        <v>3844</v>
      </c>
      <c r="BO159" s="2" t="s">
        <v>3845</v>
      </c>
      <c r="BP159" s="3" t="s">
        <v>3368</v>
      </c>
      <c r="BQ159" s="197" t="s">
        <v>3301</v>
      </c>
      <c r="BR159" s="197" t="s">
        <v>2668</v>
      </c>
      <c r="BS159" s="2" t="s">
        <v>3846</v>
      </c>
      <c r="BT159" s="2" t="s">
        <v>184</v>
      </c>
      <c r="BU159" s="2" t="s">
        <v>3368</v>
      </c>
      <c r="BV159" s="3" t="s">
        <v>185</v>
      </c>
      <c r="BW159" s="197" t="s">
        <v>3589</v>
      </c>
      <c r="BX159" s="197" t="s">
        <v>2029</v>
      </c>
      <c r="BY159" s="7" t="s">
        <v>3870</v>
      </c>
      <c r="BZ159" s="2" t="s">
        <v>182</v>
      </c>
      <c r="CA159" s="2" t="s">
        <v>3613</v>
      </c>
      <c r="CB159" s="3" t="s">
        <v>1411</v>
      </c>
      <c r="CC159" s="197" t="s">
        <v>3302</v>
      </c>
      <c r="CD159" s="197" t="s">
        <v>1973</v>
      </c>
      <c r="CE159" s="7" t="s">
        <v>1785</v>
      </c>
      <c r="CF159" s="2" t="s">
        <v>1788</v>
      </c>
      <c r="CG159" s="2" t="s">
        <v>2939</v>
      </c>
      <c r="CH159" s="3" t="s">
        <v>1258</v>
      </c>
      <c r="CI159" s="197" t="s">
        <v>3303</v>
      </c>
      <c r="CJ159" s="197" t="s">
        <v>579</v>
      </c>
      <c r="CK159" s="7" t="s">
        <v>484</v>
      </c>
      <c r="CL159" s="2" t="s">
        <v>1831</v>
      </c>
      <c r="CM159" s="2" t="s">
        <v>485</v>
      </c>
      <c r="CN159" s="3" t="s">
        <v>486</v>
      </c>
      <c r="CO159" s="197" t="s">
        <v>3304</v>
      </c>
      <c r="CP159" s="197" t="s">
        <v>2668</v>
      </c>
      <c r="CQ159" s="1" t="s">
        <v>2672</v>
      </c>
      <c r="CR159" s="1" t="s">
        <v>3472</v>
      </c>
      <c r="CS159" s="1" t="s">
        <v>3347</v>
      </c>
      <c r="CT159" s="1" t="s">
        <v>3346</v>
      </c>
      <c r="CU159" s="197" t="s">
        <v>2244</v>
      </c>
      <c r="CV159" s="197" t="s">
        <v>2662</v>
      </c>
      <c r="CW159" s="2" t="s">
        <v>2941</v>
      </c>
      <c r="CX159" s="2" t="s">
        <v>2942</v>
      </c>
      <c r="CY159" s="2" t="s">
        <v>2943</v>
      </c>
      <c r="CZ159" s="3" t="s">
        <v>2944</v>
      </c>
      <c r="DA159" s="197" t="s">
        <v>2356</v>
      </c>
      <c r="DB159" s="197" t="s">
        <v>2668</v>
      </c>
      <c r="DC159" s="2" t="s">
        <v>3874</v>
      </c>
      <c r="DD159" s="2" t="s">
        <v>1420</v>
      </c>
      <c r="DE159" s="2" t="s">
        <v>1421</v>
      </c>
      <c r="DF159" s="3" t="s">
        <v>2675</v>
      </c>
      <c r="DG159" s="197" t="s">
        <v>2619</v>
      </c>
      <c r="DH159" s="197" t="s">
        <v>1418</v>
      </c>
      <c r="DI159" s="7" t="s">
        <v>2265</v>
      </c>
      <c r="DJ159" s="2" t="s">
        <v>1419</v>
      </c>
      <c r="DK159" s="2" t="s">
        <v>2940</v>
      </c>
      <c r="DL159" s="3" t="s">
        <v>3882</v>
      </c>
      <c r="DM159" s="197" t="s">
        <v>3305</v>
      </c>
      <c r="DN159" s="197" t="s">
        <v>3420</v>
      </c>
      <c r="DO159" s="7" t="s">
        <v>175</v>
      </c>
      <c r="DP159" s="2" t="s">
        <v>176</v>
      </c>
      <c r="DQ159" s="2" t="s">
        <v>3421</v>
      </c>
      <c r="DR159" s="3" t="s">
        <v>174</v>
      </c>
      <c r="DS159" s="197" t="s">
        <v>3306</v>
      </c>
      <c r="DT159" s="197" t="s">
        <v>4079</v>
      </c>
      <c r="DU159" s="7" t="s">
        <v>3798</v>
      </c>
      <c r="DV159" s="2" t="s">
        <v>3087</v>
      </c>
      <c r="DW159" s="2" t="s">
        <v>3797</v>
      </c>
      <c r="DX159" s="3" t="s">
        <v>3796</v>
      </c>
      <c r="DY159" s="197" t="s">
        <v>2253</v>
      </c>
      <c r="DZ159" s="197" t="s">
        <v>1838</v>
      </c>
      <c r="EA159" s="7" t="s">
        <v>3792</v>
      </c>
      <c r="EB159" s="2" t="s">
        <v>2953</v>
      </c>
      <c r="EC159" s="2" t="s">
        <v>2954</v>
      </c>
      <c r="ED159" s="3" t="s">
        <v>3016</v>
      </c>
      <c r="EE159" s="197" t="s">
        <v>3307</v>
      </c>
      <c r="EF159" s="197" t="s">
        <v>3429</v>
      </c>
      <c r="EG159" s="7" t="s">
        <v>1497</v>
      </c>
      <c r="EH159" s="2" t="s">
        <v>1352</v>
      </c>
      <c r="EI159" s="2" t="s">
        <v>2462</v>
      </c>
      <c r="EJ159" s="3" t="s">
        <v>1353</v>
      </c>
      <c r="EK159" s="197" t="s">
        <v>2644</v>
      </c>
      <c r="EL159" s="197" t="s">
        <v>3526</v>
      </c>
      <c r="EM159" s="7" t="s">
        <v>2645</v>
      </c>
      <c r="EN159" s="2" t="s">
        <v>2646</v>
      </c>
      <c r="EO159" s="2" t="s">
        <v>2647</v>
      </c>
      <c r="EP159" s="3" t="s">
        <v>2648</v>
      </c>
      <c r="EQ159" s="197"/>
      <c r="ER159" s="197"/>
      <c r="ES159" s="7"/>
      <c r="ET159" s="2"/>
      <c r="EU159" s="2"/>
      <c r="EV159" s="3"/>
      <c r="EW159" s="197"/>
      <c r="EX159" s="197"/>
      <c r="EY159" s="7"/>
      <c r="EZ159" s="2"/>
      <c r="FA159" s="2"/>
      <c r="FB159" s="3"/>
      <c r="FC159" s="197"/>
      <c r="FD159" s="197"/>
      <c r="FE159" s="7"/>
      <c r="FF159" s="2"/>
      <c r="FG159" s="2"/>
      <c r="FH159" s="3"/>
      <c r="FI159" s="197"/>
      <c r="FJ159" s="197"/>
      <c r="FK159" s="7"/>
      <c r="FL159" s="2"/>
      <c r="FM159" s="2"/>
      <c r="FN159" s="3"/>
      <c r="FO159" s="197"/>
      <c r="FP159" s="197"/>
      <c r="FQ159" s="7"/>
      <c r="FR159" s="2"/>
      <c r="FS159" s="2"/>
      <c r="FT159" s="3"/>
      <c r="FU159" s="197"/>
      <c r="FV159" s="197"/>
      <c r="FW159" s="7"/>
      <c r="FX159" s="2"/>
      <c r="FY159" s="2"/>
      <c r="FZ159" s="3"/>
      <c r="GA159" s="197"/>
      <c r="GB159" s="197"/>
      <c r="GC159" s="7"/>
      <c r="GD159" s="2"/>
      <c r="GE159" s="2"/>
      <c r="GF159" s="3"/>
      <c r="GG159" s="197"/>
      <c r="GH159" s="197"/>
      <c r="GI159" s="7"/>
      <c r="GJ159" s="2"/>
      <c r="GK159" s="2"/>
      <c r="GL159" s="3"/>
      <c r="GM159" s="197"/>
      <c r="GN159" s="197"/>
      <c r="GO159" s="7"/>
      <c r="GP159" s="2"/>
      <c r="GQ159" s="2"/>
      <c r="GR159" s="3"/>
      <c r="GS159" s="197"/>
      <c r="GT159" s="197"/>
      <c r="GU159" s="7"/>
      <c r="GV159" s="2"/>
      <c r="GW159" s="2"/>
      <c r="GX159" s="3"/>
      <c r="GY159" s="197"/>
      <c r="GZ159" s="197"/>
      <c r="HA159" s="7"/>
      <c r="HB159" s="2"/>
      <c r="HC159" s="2"/>
      <c r="HD159" s="3"/>
      <c r="HE159" s="197"/>
      <c r="HF159" s="197"/>
      <c r="HG159" s="7"/>
      <c r="HH159" s="2"/>
      <c r="HI159" s="2"/>
      <c r="HJ159" s="3"/>
      <c r="HK159" s="197"/>
      <c r="HL159" s="197"/>
      <c r="HM159" s="7"/>
      <c r="HN159" s="2"/>
      <c r="HO159" s="2"/>
      <c r="HP159" s="3"/>
      <c r="HQ159" s="197"/>
      <c r="HR159" s="197"/>
      <c r="HS159" s="7"/>
      <c r="HT159" s="2"/>
      <c r="HU159" s="2"/>
      <c r="HV159" s="3"/>
      <c r="HW159" s="197"/>
      <c r="HX159" s="197"/>
      <c r="HY159" s="7"/>
      <c r="HZ159" s="2"/>
      <c r="IA159" s="2"/>
      <c r="IB159" s="3"/>
      <c r="IC159" s="197"/>
      <c r="ID159" s="197"/>
      <c r="IE159" s="7"/>
      <c r="IF159" s="2"/>
      <c r="IG159" s="2"/>
      <c r="IH159" s="3"/>
      <c r="II159" s="197"/>
      <c r="IJ159" s="197"/>
      <c r="IK159" s="7"/>
      <c r="IL159" s="2"/>
      <c r="IM159" s="2"/>
      <c r="IN159" s="3"/>
      <c r="IO159" s="197"/>
      <c r="IP159" s="197"/>
      <c r="IQ159" s="7"/>
      <c r="IR159" s="2"/>
      <c r="IS159" s="2"/>
      <c r="IT159" s="3"/>
    </row>
    <row r="160" spans="1:254" s="507" customFormat="1" ht="12.9" customHeight="1" x14ac:dyDescent="0.2">
      <c r="A160" s="505" t="str">
        <f>+'Past Quartets 1st - 3rd Place'!A170</f>
        <v>2001 P</v>
      </c>
      <c r="B160" s="503">
        <f>+'Past Quartets 1st - 3rd Place'!B170</f>
        <v>24</v>
      </c>
      <c r="C160" s="197" t="s">
        <v>2759</v>
      </c>
      <c r="D160" s="197" t="s">
        <v>2760</v>
      </c>
      <c r="E160" s="7" t="s">
        <v>433</v>
      </c>
      <c r="F160" s="2" t="s">
        <v>1626</v>
      </c>
      <c r="G160" s="2" t="s">
        <v>1627</v>
      </c>
      <c r="H160" s="3" t="s">
        <v>434</v>
      </c>
      <c r="I160" s="197" t="s">
        <v>2145</v>
      </c>
      <c r="J160" s="245" t="s">
        <v>2718</v>
      </c>
      <c r="K160" s="7" t="s">
        <v>812</v>
      </c>
      <c r="L160" s="2" t="s">
        <v>813</v>
      </c>
      <c r="M160" s="2" t="s">
        <v>2674</v>
      </c>
      <c r="N160" s="3" t="s">
        <v>2723</v>
      </c>
      <c r="O160" s="197" t="s">
        <v>3579</v>
      </c>
      <c r="P160" s="245" t="s">
        <v>3580</v>
      </c>
      <c r="Q160" s="7" t="s">
        <v>3671</v>
      </c>
      <c r="R160" s="2" t="s">
        <v>2139</v>
      </c>
      <c r="S160" s="2" t="s">
        <v>2140</v>
      </c>
      <c r="T160" s="3" t="s">
        <v>3690</v>
      </c>
      <c r="U160" s="197" t="s">
        <v>3582</v>
      </c>
      <c r="V160" s="197" t="s">
        <v>3357</v>
      </c>
      <c r="W160" s="7" t="s">
        <v>735</v>
      </c>
      <c r="X160" s="2" t="s">
        <v>3552</v>
      </c>
      <c r="Y160" s="2" t="s">
        <v>2308</v>
      </c>
      <c r="Z160" s="3" t="s">
        <v>3555</v>
      </c>
      <c r="AA160" s="197" t="s">
        <v>3298</v>
      </c>
      <c r="AB160" s="245" t="s">
        <v>4079</v>
      </c>
      <c r="AC160" s="2" t="s">
        <v>3575</v>
      </c>
      <c r="AD160" s="2" t="s">
        <v>3576</v>
      </c>
      <c r="AE160" s="2" t="s">
        <v>3511</v>
      </c>
      <c r="AF160" s="3" t="s">
        <v>3543</v>
      </c>
      <c r="AG160" s="197" t="s">
        <v>2356</v>
      </c>
      <c r="AH160" s="197" t="s">
        <v>2668</v>
      </c>
      <c r="AI160" s="2" t="s">
        <v>3874</v>
      </c>
      <c r="AJ160" s="2" t="s">
        <v>1420</v>
      </c>
      <c r="AK160" s="1" t="s">
        <v>1421</v>
      </c>
      <c r="AL160" s="3" t="s">
        <v>2675</v>
      </c>
      <c r="AM160" s="197" t="s">
        <v>3308</v>
      </c>
      <c r="AN160" s="197" t="s">
        <v>3826</v>
      </c>
      <c r="AO160" s="2" t="s">
        <v>428</v>
      </c>
      <c r="AP160" s="2" t="s">
        <v>179</v>
      </c>
      <c r="AQ160" s="2" t="s">
        <v>180</v>
      </c>
      <c r="AR160" s="3" t="s">
        <v>1274</v>
      </c>
      <c r="AS160" s="197" t="s">
        <v>3309</v>
      </c>
      <c r="AT160" s="197" t="s">
        <v>4079</v>
      </c>
      <c r="AU160" s="7" t="s">
        <v>259</v>
      </c>
      <c r="AV160" s="2" t="s">
        <v>1414</v>
      </c>
      <c r="AW160" s="2" t="s">
        <v>3272</v>
      </c>
      <c r="AX160" s="3" t="s">
        <v>3088</v>
      </c>
      <c r="AY160" s="197" t="s">
        <v>2244</v>
      </c>
      <c r="AZ160" s="197" t="s">
        <v>2662</v>
      </c>
      <c r="BA160" s="2" t="s">
        <v>2941</v>
      </c>
      <c r="BB160" s="2" t="s">
        <v>2942</v>
      </c>
      <c r="BC160" s="2" t="s">
        <v>2943</v>
      </c>
      <c r="BD160" s="3" t="s">
        <v>2944</v>
      </c>
      <c r="BE160" s="197" t="s">
        <v>2619</v>
      </c>
      <c r="BF160" s="197" t="s">
        <v>1418</v>
      </c>
      <c r="BG160" s="7" t="s">
        <v>2265</v>
      </c>
      <c r="BH160" s="2" t="s">
        <v>1419</v>
      </c>
      <c r="BI160" s="2" t="s">
        <v>2940</v>
      </c>
      <c r="BJ160" s="3" t="s">
        <v>3882</v>
      </c>
      <c r="BK160" s="197" t="s">
        <v>3589</v>
      </c>
      <c r="BL160" s="197" t="s">
        <v>2029</v>
      </c>
      <c r="BM160" s="7" t="s">
        <v>3870</v>
      </c>
      <c r="BN160" s="2" t="s">
        <v>182</v>
      </c>
      <c r="BO160" s="2" t="s">
        <v>3613</v>
      </c>
      <c r="BP160" s="3" t="s">
        <v>1411</v>
      </c>
      <c r="BQ160" s="197" t="s">
        <v>3310</v>
      </c>
      <c r="BR160" s="197" t="s">
        <v>1310</v>
      </c>
      <c r="BS160" s="7" t="s">
        <v>3350</v>
      </c>
      <c r="BT160" s="2" t="s">
        <v>1423</v>
      </c>
      <c r="BU160" s="2" t="s">
        <v>1424</v>
      </c>
      <c r="BV160" s="3" t="s">
        <v>1425</v>
      </c>
      <c r="BW160" s="197" t="s">
        <v>3311</v>
      </c>
      <c r="BX160" s="197" t="s">
        <v>1973</v>
      </c>
      <c r="BY160" s="7" t="s">
        <v>1785</v>
      </c>
      <c r="BZ160" s="2" t="s">
        <v>1788</v>
      </c>
      <c r="CA160" s="2" t="s">
        <v>2939</v>
      </c>
      <c r="CB160" s="3" t="s">
        <v>1258</v>
      </c>
      <c r="CC160" s="197" t="s">
        <v>3304</v>
      </c>
      <c r="CD160" s="197" t="s">
        <v>2668</v>
      </c>
      <c r="CE160" s="1" t="s">
        <v>2672</v>
      </c>
      <c r="CF160" s="1" t="s">
        <v>3472</v>
      </c>
      <c r="CG160" s="1" t="s">
        <v>3345</v>
      </c>
      <c r="CH160" s="1" t="s">
        <v>3346</v>
      </c>
      <c r="CI160" s="197" t="s">
        <v>3312</v>
      </c>
      <c r="CJ160" s="204" t="s">
        <v>700</v>
      </c>
      <c r="CK160" s="27" t="s">
        <v>3710</v>
      </c>
      <c r="CL160" s="27" t="s">
        <v>3711</v>
      </c>
      <c r="CM160" s="27" t="s">
        <v>1659</v>
      </c>
      <c r="CN160" s="28" t="s">
        <v>3979</v>
      </c>
      <c r="CO160" s="197" t="s">
        <v>2737</v>
      </c>
      <c r="CP160" s="197" t="s">
        <v>2146</v>
      </c>
      <c r="CQ160" s="7" t="s">
        <v>3028</v>
      </c>
      <c r="CR160" s="2" t="s">
        <v>2658</v>
      </c>
      <c r="CS160" s="2" t="s">
        <v>2659</v>
      </c>
      <c r="CT160" s="3" t="s">
        <v>2660</v>
      </c>
      <c r="CU160" s="197" t="s">
        <v>495</v>
      </c>
      <c r="CV160" s="197" t="s">
        <v>4041</v>
      </c>
      <c r="CW160" s="2" t="s">
        <v>3784</v>
      </c>
      <c r="CX160" s="2" t="s">
        <v>1499</v>
      </c>
      <c r="CY160" s="2" t="s">
        <v>2370</v>
      </c>
      <c r="CZ160" s="3" t="s">
        <v>1498</v>
      </c>
      <c r="DA160" s="197" t="s">
        <v>2644</v>
      </c>
      <c r="DB160" s="197" t="s">
        <v>3526</v>
      </c>
      <c r="DC160" s="7" t="s">
        <v>2645</v>
      </c>
      <c r="DD160" s="2" t="s">
        <v>2646</v>
      </c>
      <c r="DE160" s="2" t="s">
        <v>2647</v>
      </c>
      <c r="DF160" s="3" t="s">
        <v>2648</v>
      </c>
      <c r="DG160" s="197"/>
      <c r="DH160" s="197"/>
      <c r="DI160" s="2"/>
      <c r="DJ160" s="2"/>
      <c r="DK160" s="2"/>
      <c r="DL160" s="3"/>
      <c r="DM160" s="197"/>
      <c r="DN160" s="197"/>
      <c r="DO160" s="2"/>
      <c r="DP160" s="2"/>
      <c r="DQ160" s="2"/>
      <c r="DR160" s="3"/>
      <c r="DS160" s="197"/>
      <c r="DT160" s="197"/>
      <c r="DU160" s="2"/>
      <c r="DV160" s="2"/>
      <c r="DW160" s="2"/>
      <c r="DX160" s="3"/>
      <c r="DY160" s="197"/>
      <c r="DZ160" s="197"/>
      <c r="EA160" s="2"/>
      <c r="EB160" s="2"/>
      <c r="EC160" s="2"/>
      <c r="ED160" s="3"/>
      <c r="EE160" s="197"/>
      <c r="EF160" s="197"/>
      <c r="EG160" s="2"/>
      <c r="EH160" s="2"/>
      <c r="EI160" s="2"/>
      <c r="EJ160" s="3"/>
      <c r="EK160" s="197"/>
      <c r="EL160" s="197"/>
      <c r="EM160" s="2"/>
      <c r="EN160" s="2"/>
      <c r="EO160" s="2"/>
      <c r="EP160" s="3"/>
      <c r="EQ160" s="197"/>
      <c r="ER160" s="197"/>
      <c r="ES160" s="2"/>
      <c r="ET160" s="2"/>
      <c r="EU160" s="2"/>
      <c r="EV160" s="3"/>
      <c r="EW160" s="197"/>
      <c r="EX160" s="197"/>
      <c r="EY160" s="2"/>
      <c r="EZ160" s="2"/>
      <c r="FA160" s="2"/>
      <c r="FB160" s="3"/>
      <c r="FC160" s="197"/>
      <c r="FD160" s="197"/>
      <c r="FE160" s="2"/>
      <c r="FF160" s="2"/>
      <c r="FG160" s="2"/>
      <c r="FH160" s="3"/>
      <c r="FI160" s="197"/>
      <c r="FJ160" s="197"/>
      <c r="FK160" s="2"/>
      <c r="FL160" s="2"/>
      <c r="FM160" s="2"/>
      <c r="FN160" s="3"/>
      <c r="FO160" s="197"/>
      <c r="FP160" s="197"/>
      <c r="FQ160" s="2"/>
      <c r="FR160" s="2"/>
      <c r="FS160" s="2"/>
      <c r="FT160" s="3"/>
      <c r="FU160" s="197"/>
      <c r="FV160" s="197"/>
      <c r="FW160" s="2"/>
      <c r="FX160" s="2"/>
      <c r="FY160" s="2"/>
      <c r="FZ160" s="3"/>
      <c r="GA160" s="197"/>
      <c r="GB160" s="197"/>
      <c r="GC160" s="2"/>
      <c r="GD160" s="2"/>
      <c r="GE160" s="2"/>
      <c r="GF160" s="3"/>
      <c r="GG160" s="197"/>
      <c r="GH160" s="197"/>
      <c r="GI160" s="2"/>
      <c r="GJ160" s="2"/>
      <c r="GK160" s="2"/>
      <c r="GL160" s="3"/>
      <c r="GM160" s="197"/>
      <c r="GN160" s="197"/>
      <c r="GO160" s="2"/>
      <c r="GP160" s="2"/>
      <c r="GQ160" s="2"/>
      <c r="GR160" s="3"/>
      <c r="GS160" s="197"/>
      <c r="GT160" s="197"/>
      <c r="GU160" s="2"/>
      <c r="GV160" s="2"/>
      <c r="GW160" s="2"/>
      <c r="GX160" s="3"/>
      <c r="GY160" s="197"/>
      <c r="GZ160" s="197"/>
      <c r="HA160" s="2"/>
      <c r="HB160" s="2"/>
      <c r="HC160" s="2"/>
      <c r="HD160" s="3"/>
      <c r="HE160" s="197"/>
      <c r="HF160" s="197"/>
      <c r="HG160" s="2"/>
      <c r="HH160" s="2"/>
      <c r="HI160" s="2"/>
      <c r="HJ160" s="3"/>
      <c r="HK160" s="197"/>
      <c r="HL160" s="197"/>
      <c r="HM160" s="2"/>
      <c r="HN160" s="2"/>
      <c r="HO160" s="2"/>
      <c r="HP160" s="3"/>
      <c r="HQ160" s="197"/>
      <c r="HR160" s="197"/>
      <c r="HS160" s="2"/>
      <c r="HT160" s="2"/>
      <c r="HU160" s="2"/>
      <c r="HV160" s="3"/>
      <c r="HW160" s="197"/>
      <c r="HX160" s="197"/>
      <c r="HY160" s="2"/>
      <c r="HZ160" s="2"/>
      <c r="IA160" s="2"/>
      <c r="IB160" s="3"/>
      <c r="IC160" s="197"/>
      <c r="ID160" s="197"/>
      <c r="IE160" s="2"/>
      <c r="IF160" s="2"/>
      <c r="IG160" s="2"/>
      <c r="IH160" s="3"/>
      <c r="II160" s="197"/>
      <c r="IJ160" s="197"/>
      <c r="IK160" s="2"/>
      <c r="IL160" s="2"/>
      <c r="IM160" s="2"/>
      <c r="IN160" s="3"/>
      <c r="IO160" s="197"/>
      <c r="IP160" s="197"/>
      <c r="IQ160" s="2"/>
      <c r="IR160" s="2"/>
      <c r="IS160" s="2"/>
      <c r="IT160" s="3"/>
    </row>
    <row r="161" spans="1:254" s="507" customFormat="1" ht="12.9" customHeight="1" x14ac:dyDescent="0.2">
      <c r="A161" s="505" t="str">
        <f>+'Past Quartets 1st - 3rd Place'!A171</f>
        <v>2002 P</v>
      </c>
      <c r="B161" s="503">
        <f>+'Past Quartets 1st - 3rd Place'!B171</f>
        <v>23</v>
      </c>
      <c r="C161" s="197" t="s">
        <v>281</v>
      </c>
      <c r="D161" s="197" t="s">
        <v>2362</v>
      </c>
      <c r="E161" s="7" t="s">
        <v>458</v>
      </c>
      <c r="F161" s="2" t="s">
        <v>1851</v>
      </c>
      <c r="G161" s="2" t="s">
        <v>1852</v>
      </c>
      <c r="H161" s="3" t="s">
        <v>758</v>
      </c>
      <c r="I161" s="197" t="s">
        <v>3582</v>
      </c>
      <c r="J161" s="197" t="s">
        <v>3357</v>
      </c>
      <c r="K161" s="7" t="s">
        <v>735</v>
      </c>
      <c r="L161" s="2" t="s">
        <v>3552</v>
      </c>
      <c r="M161" s="2" t="s">
        <v>2308</v>
      </c>
      <c r="N161" s="3" t="s">
        <v>3555</v>
      </c>
      <c r="O161" s="197" t="s">
        <v>613</v>
      </c>
      <c r="P161" s="197" t="s">
        <v>1426</v>
      </c>
      <c r="Q161" s="7" t="s">
        <v>1427</v>
      </c>
      <c r="R161" s="2" t="s">
        <v>3087</v>
      </c>
      <c r="S161" s="2" t="s">
        <v>1428</v>
      </c>
      <c r="T161" s="3" t="s">
        <v>3514</v>
      </c>
      <c r="U161" s="197" t="s">
        <v>3310</v>
      </c>
      <c r="V161" s="197" t="s">
        <v>1310</v>
      </c>
      <c r="W161" s="7" t="s">
        <v>3350</v>
      </c>
      <c r="X161" s="2" t="s">
        <v>1423</v>
      </c>
      <c r="Y161" s="2" t="s">
        <v>1424</v>
      </c>
      <c r="Z161" s="3" t="s">
        <v>1425</v>
      </c>
      <c r="AA161" s="197" t="s">
        <v>3311</v>
      </c>
      <c r="AB161" s="204" t="s">
        <v>1973</v>
      </c>
      <c r="AC161" s="27" t="s">
        <v>1785</v>
      </c>
      <c r="AD161" s="27" t="s">
        <v>1786</v>
      </c>
      <c r="AE161" s="27" t="s">
        <v>2939</v>
      </c>
      <c r="AF161" s="28" t="s">
        <v>1788</v>
      </c>
      <c r="AG161" s="197" t="s">
        <v>3589</v>
      </c>
      <c r="AH161" s="197" t="s">
        <v>2029</v>
      </c>
      <c r="AI161" s="7" t="s">
        <v>3870</v>
      </c>
      <c r="AJ161" s="2" t="s">
        <v>182</v>
      </c>
      <c r="AK161" s="2" t="s">
        <v>3613</v>
      </c>
      <c r="AL161" s="3" t="s">
        <v>1411</v>
      </c>
      <c r="AM161" s="197" t="s">
        <v>614</v>
      </c>
      <c r="AN161" s="197" t="s">
        <v>1254</v>
      </c>
      <c r="AO161" s="7" t="s">
        <v>1255</v>
      </c>
      <c r="AP161" s="2" t="s">
        <v>1256</v>
      </c>
      <c r="AQ161" s="2" t="s">
        <v>3613</v>
      </c>
      <c r="AR161" s="3" t="s">
        <v>2970</v>
      </c>
      <c r="AS161" s="197" t="s">
        <v>3301</v>
      </c>
      <c r="AT161" s="197" t="s">
        <v>2668</v>
      </c>
      <c r="AU161" s="7" t="s">
        <v>3080</v>
      </c>
      <c r="AV161" s="2" t="s">
        <v>184</v>
      </c>
      <c r="AW161" s="2" t="s">
        <v>3368</v>
      </c>
      <c r="AX161" s="3" t="s">
        <v>185</v>
      </c>
      <c r="AY161" s="197" t="s">
        <v>615</v>
      </c>
      <c r="AZ161" s="197" t="s">
        <v>4079</v>
      </c>
      <c r="BA161" s="7" t="s">
        <v>259</v>
      </c>
      <c r="BB161" s="2" t="s">
        <v>1414</v>
      </c>
      <c r="BC161" s="2" t="s">
        <v>3272</v>
      </c>
      <c r="BD161" s="3" t="s">
        <v>3088</v>
      </c>
      <c r="BE161" s="197" t="s">
        <v>3308</v>
      </c>
      <c r="BF161" s="197" t="s">
        <v>3826</v>
      </c>
      <c r="BG161" s="2" t="s">
        <v>428</v>
      </c>
      <c r="BH161" s="2" t="s">
        <v>179</v>
      </c>
      <c r="BI161" s="2" t="s">
        <v>180</v>
      </c>
      <c r="BJ161" s="3" t="s">
        <v>1274</v>
      </c>
      <c r="BK161" s="197" t="s">
        <v>2614</v>
      </c>
      <c r="BL161" s="197" t="s">
        <v>1838</v>
      </c>
      <c r="BM161" s="2" t="s">
        <v>1839</v>
      </c>
      <c r="BN161" s="2" t="s">
        <v>430</v>
      </c>
      <c r="BO161" s="2" t="s">
        <v>431</v>
      </c>
      <c r="BP161" s="3" t="s">
        <v>432</v>
      </c>
      <c r="BQ161" s="197" t="s">
        <v>2356</v>
      </c>
      <c r="BR161" s="197" t="s">
        <v>2668</v>
      </c>
      <c r="BS161" s="2" t="s">
        <v>3874</v>
      </c>
      <c r="BT161" s="2" t="s">
        <v>1420</v>
      </c>
      <c r="BU161" s="1" t="s">
        <v>1421</v>
      </c>
      <c r="BV161" s="3" t="s">
        <v>2675</v>
      </c>
      <c r="BW161" s="197" t="s">
        <v>3583</v>
      </c>
      <c r="BX161" s="197" t="s">
        <v>3826</v>
      </c>
      <c r="BY161" s="7" t="s">
        <v>1259</v>
      </c>
      <c r="BZ161" s="2" t="s">
        <v>1260</v>
      </c>
      <c r="CA161" s="2" t="s">
        <v>1261</v>
      </c>
      <c r="CB161" s="3" t="s">
        <v>1262</v>
      </c>
      <c r="CC161" s="197" t="s">
        <v>2619</v>
      </c>
      <c r="CD161" s="197" t="s">
        <v>1418</v>
      </c>
      <c r="CE161" s="7" t="s">
        <v>2265</v>
      </c>
      <c r="CF161" s="2" t="s">
        <v>1419</v>
      </c>
      <c r="CG161" s="2" t="s">
        <v>2940</v>
      </c>
      <c r="CH161" s="3" t="s">
        <v>3882</v>
      </c>
      <c r="CI161" s="197" t="s">
        <v>3304</v>
      </c>
      <c r="CJ161" s="197" t="s">
        <v>2668</v>
      </c>
      <c r="CK161" s="1" t="s">
        <v>2672</v>
      </c>
      <c r="CL161" s="1" t="s">
        <v>3472</v>
      </c>
      <c r="CM161" s="1" t="s">
        <v>3345</v>
      </c>
      <c r="CN161" s="3" t="s">
        <v>3346</v>
      </c>
      <c r="CO161" s="197" t="s">
        <v>821</v>
      </c>
      <c r="CP161" s="197" t="s">
        <v>579</v>
      </c>
      <c r="CQ161" s="7" t="s">
        <v>822</v>
      </c>
      <c r="CR161" s="2" t="s">
        <v>823</v>
      </c>
      <c r="CS161" s="2" t="s">
        <v>824</v>
      </c>
      <c r="CT161" s="3" t="s">
        <v>825</v>
      </c>
      <c r="CU161" s="197" t="s">
        <v>2244</v>
      </c>
      <c r="CV161" s="197" t="s">
        <v>2662</v>
      </c>
      <c r="CW161" s="2" t="s">
        <v>2941</v>
      </c>
      <c r="CX161" s="2" t="s">
        <v>2942</v>
      </c>
      <c r="CY161" s="2" t="s">
        <v>2943</v>
      </c>
      <c r="CZ161" s="3" t="s">
        <v>2944</v>
      </c>
      <c r="DA161" s="197"/>
      <c r="DB161" s="197"/>
      <c r="DC161" s="7"/>
      <c r="DD161" s="2"/>
      <c r="DE161" s="2"/>
      <c r="DF161" s="3"/>
      <c r="DG161" s="197"/>
      <c r="DH161" s="197"/>
      <c r="DI161" s="7"/>
      <c r="DJ161" s="2"/>
      <c r="DK161" s="2"/>
      <c r="DL161" s="3"/>
      <c r="DM161" s="197"/>
      <c r="DN161" s="197"/>
      <c r="DO161" s="7"/>
      <c r="DP161" s="2"/>
      <c r="DQ161" s="2"/>
      <c r="DR161" s="3"/>
      <c r="DS161" s="197"/>
      <c r="DT161" s="197"/>
      <c r="DU161" s="7"/>
      <c r="DV161" s="2"/>
      <c r="DW161" s="2"/>
      <c r="DX161" s="3"/>
      <c r="DY161" s="197"/>
      <c r="DZ161" s="197"/>
      <c r="EA161" s="7"/>
      <c r="EB161" s="2"/>
      <c r="EC161" s="2"/>
      <c r="ED161" s="3"/>
      <c r="EE161" s="197"/>
      <c r="EF161" s="197"/>
      <c r="EG161" s="7"/>
      <c r="EH161" s="2"/>
      <c r="EI161" s="2"/>
      <c r="EJ161" s="3"/>
      <c r="EK161" s="197"/>
      <c r="EL161" s="197"/>
      <c r="EM161" s="7"/>
      <c r="EN161" s="2"/>
      <c r="EO161" s="2"/>
      <c r="EP161" s="3"/>
      <c r="EQ161" s="197"/>
      <c r="ER161" s="197"/>
      <c r="ES161" s="7"/>
      <c r="ET161" s="2"/>
      <c r="EU161" s="2"/>
      <c r="EV161" s="3"/>
      <c r="EW161" s="197"/>
      <c r="EX161" s="197"/>
      <c r="EY161" s="7"/>
      <c r="EZ161" s="2"/>
      <c r="FA161" s="2"/>
      <c r="FB161" s="3"/>
      <c r="FC161" s="197"/>
      <c r="FD161" s="197"/>
      <c r="FE161" s="7"/>
      <c r="FF161" s="2"/>
      <c r="FG161" s="2"/>
      <c r="FH161" s="3"/>
      <c r="FI161" s="197"/>
      <c r="FJ161" s="197"/>
      <c r="FK161" s="7"/>
      <c r="FL161" s="2"/>
      <c r="FM161" s="2"/>
      <c r="FN161" s="3"/>
      <c r="FO161" s="197"/>
      <c r="FP161" s="197"/>
      <c r="FQ161" s="7"/>
      <c r="FR161" s="2"/>
      <c r="FS161" s="2"/>
      <c r="FT161" s="3"/>
      <c r="FU161" s="197"/>
      <c r="FV161" s="197"/>
      <c r="FW161" s="7"/>
      <c r="FX161" s="2"/>
      <c r="FY161" s="2"/>
      <c r="FZ161" s="3"/>
      <c r="GA161" s="197"/>
      <c r="GB161" s="197"/>
      <c r="GC161" s="7"/>
      <c r="GD161" s="2"/>
      <c r="GE161" s="2"/>
      <c r="GF161" s="3"/>
      <c r="GG161" s="197"/>
      <c r="GH161" s="197"/>
      <c r="GI161" s="7"/>
      <c r="GJ161" s="2"/>
      <c r="GK161" s="2"/>
      <c r="GL161" s="3"/>
      <c r="GM161" s="197"/>
      <c r="GN161" s="197"/>
      <c r="GO161" s="7"/>
      <c r="GP161" s="2"/>
      <c r="GQ161" s="2"/>
      <c r="GR161" s="3"/>
      <c r="GS161" s="197"/>
      <c r="GT161" s="197"/>
      <c r="GU161" s="7"/>
      <c r="GV161" s="2"/>
      <c r="GW161" s="2"/>
      <c r="GX161" s="3"/>
      <c r="GY161" s="197"/>
      <c r="GZ161" s="197"/>
      <c r="HA161" s="7"/>
      <c r="HB161" s="2"/>
      <c r="HC161" s="2"/>
      <c r="HD161" s="3"/>
      <c r="HE161" s="197"/>
      <c r="HF161" s="197"/>
      <c r="HG161" s="7"/>
      <c r="HH161" s="2"/>
      <c r="HI161" s="2"/>
      <c r="HJ161" s="3"/>
      <c r="HK161" s="197"/>
      <c r="HL161" s="197"/>
      <c r="HM161" s="7"/>
      <c r="HN161" s="2"/>
      <c r="HO161" s="2"/>
      <c r="HP161" s="3"/>
      <c r="HQ161" s="197"/>
      <c r="HR161" s="197"/>
      <c r="HS161" s="7"/>
      <c r="HT161" s="2"/>
      <c r="HU161" s="2"/>
      <c r="HV161" s="3"/>
      <c r="HW161" s="197"/>
      <c r="HX161" s="197"/>
      <c r="HY161" s="7"/>
      <c r="HZ161" s="2"/>
      <c r="IA161" s="2"/>
      <c r="IB161" s="3"/>
      <c r="IC161" s="197"/>
      <c r="ID161" s="197"/>
      <c r="IE161" s="7"/>
      <c r="IF161" s="2"/>
      <c r="IG161" s="2"/>
      <c r="IH161" s="3"/>
      <c r="II161" s="197"/>
      <c r="IJ161" s="197"/>
      <c r="IK161" s="7"/>
      <c r="IL161" s="2"/>
      <c r="IM161" s="2"/>
      <c r="IN161" s="3"/>
      <c r="IO161" s="197"/>
      <c r="IP161" s="197"/>
      <c r="IQ161" s="7"/>
      <c r="IR161" s="2"/>
      <c r="IS161" s="2"/>
      <c r="IT161" s="3"/>
    </row>
    <row r="162" spans="1:254" s="507" customFormat="1" ht="12.9" customHeight="1" x14ac:dyDescent="0.2">
      <c r="A162" s="505" t="str">
        <f>+'Past Quartets 1st - 3rd Place'!A172</f>
        <v>2003 P</v>
      </c>
      <c r="B162" s="503">
        <f>+'Past Quartets 1st - 3rd Place'!B172</f>
        <v>23</v>
      </c>
      <c r="C162" s="197" t="s">
        <v>617</v>
      </c>
      <c r="D162" s="197" t="s">
        <v>1841</v>
      </c>
      <c r="E162" s="2" t="s">
        <v>171</v>
      </c>
      <c r="F162" s="2" t="s">
        <v>173</v>
      </c>
      <c r="G162" s="1" t="s">
        <v>3602</v>
      </c>
      <c r="H162" s="3" t="s">
        <v>252</v>
      </c>
      <c r="I162" s="197" t="s">
        <v>613</v>
      </c>
      <c r="J162" s="197" t="s">
        <v>1426</v>
      </c>
      <c r="K162" s="7" t="s">
        <v>1427</v>
      </c>
      <c r="L162" s="2" t="s">
        <v>3087</v>
      </c>
      <c r="M162" s="2" t="s">
        <v>1428</v>
      </c>
      <c r="N162" s="3" t="s">
        <v>3514</v>
      </c>
      <c r="O162" s="197" t="s">
        <v>2614</v>
      </c>
      <c r="P162" s="197" t="s">
        <v>1838</v>
      </c>
      <c r="Q162" s="7" t="s">
        <v>1839</v>
      </c>
      <c r="R162" s="2" t="s">
        <v>430</v>
      </c>
      <c r="S162" s="2" t="s">
        <v>432</v>
      </c>
      <c r="T162" s="3" t="s">
        <v>431</v>
      </c>
      <c r="U162" s="197" t="s">
        <v>3583</v>
      </c>
      <c r="V162" s="205" t="s">
        <v>2733</v>
      </c>
      <c r="W162" s="29" t="s">
        <v>3604</v>
      </c>
      <c r="X162" s="27" t="s">
        <v>2332</v>
      </c>
      <c r="Y162" s="29" t="s">
        <v>3606</v>
      </c>
      <c r="Z162" s="189" t="s">
        <v>3607</v>
      </c>
      <c r="AA162" s="197" t="s">
        <v>3308</v>
      </c>
      <c r="AB162" s="197" t="s">
        <v>3826</v>
      </c>
      <c r="AC162" s="2" t="s">
        <v>428</v>
      </c>
      <c r="AD162" s="2" t="s">
        <v>179</v>
      </c>
      <c r="AE162" s="2" t="s">
        <v>180</v>
      </c>
      <c r="AF162" s="3" t="s">
        <v>1274</v>
      </c>
      <c r="AG162" s="197" t="s">
        <v>618</v>
      </c>
      <c r="AH162" s="197" t="s">
        <v>1838</v>
      </c>
      <c r="AI162" s="7" t="s">
        <v>2952</v>
      </c>
      <c r="AJ162" s="2" t="s">
        <v>2953</v>
      </c>
      <c r="AK162" s="2" t="s">
        <v>2954</v>
      </c>
      <c r="AL162" s="3" t="s">
        <v>2955</v>
      </c>
      <c r="AM162" s="197" t="s">
        <v>3589</v>
      </c>
      <c r="AN162" s="197" t="s">
        <v>3612</v>
      </c>
      <c r="AO162" s="2" t="s">
        <v>3613</v>
      </c>
      <c r="AP162" s="2" t="s">
        <v>182</v>
      </c>
      <c r="AQ162" s="1" t="s">
        <v>685</v>
      </c>
      <c r="AR162" s="3" t="s">
        <v>183</v>
      </c>
      <c r="AS162" s="197" t="s">
        <v>821</v>
      </c>
      <c r="AT162" s="197" t="s">
        <v>579</v>
      </c>
      <c r="AU162" s="7" t="s">
        <v>822</v>
      </c>
      <c r="AV162" s="2" t="s">
        <v>823</v>
      </c>
      <c r="AW162" s="2" t="s">
        <v>824</v>
      </c>
      <c r="AX162" s="3" t="s">
        <v>825</v>
      </c>
      <c r="AY162" s="197" t="s">
        <v>2619</v>
      </c>
      <c r="AZ162" s="197" t="s">
        <v>1418</v>
      </c>
      <c r="BA162" s="7" t="s">
        <v>2265</v>
      </c>
      <c r="BB162" s="2" t="s">
        <v>1419</v>
      </c>
      <c r="BC162" s="2" t="s">
        <v>2940</v>
      </c>
      <c r="BD162" s="3" t="s">
        <v>3882</v>
      </c>
      <c r="BE162" s="197" t="s">
        <v>614</v>
      </c>
      <c r="BF162" s="197" t="s">
        <v>1254</v>
      </c>
      <c r="BG162" s="7" t="s">
        <v>1255</v>
      </c>
      <c r="BH162" s="2" t="s">
        <v>1256</v>
      </c>
      <c r="BI162" s="2" t="s">
        <v>3613</v>
      </c>
      <c r="BJ162" s="3" t="s">
        <v>2970</v>
      </c>
      <c r="BK162" s="197" t="s">
        <v>3310</v>
      </c>
      <c r="BL162" s="197" t="s">
        <v>1310</v>
      </c>
      <c r="BM162" s="7" t="s">
        <v>3350</v>
      </c>
      <c r="BN162" s="2" t="s">
        <v>1423</v>
      </c>
      <c r="BO162" s="2" t="s">
        <v>1424</v>
      </c>
      <c r="BP162" s="3" t="s">
        <v>1425</v>
      </c>
      <c r="BQ162" s="197" t="s">
        <v>2096</v>
      </c>
      <c r="BR162" s="197" t="s">
        <v>1879</v>
      </c>
      <c r="BS162" s="7" t="s">
        <v>1265</v>
      </c>
      <c r="BT162" s="2" t="s">
        <v>2160</v>
      </c>
      <c r="BU162" s="2" t="s">
        <v>1463</v>
      </c>
      <c r="BV162" s="3" t="s">
        <v>690</v>
      </c>
      <c r="BW162" s="197" t="s">
        <v>770</v>
      </c>
      <c r="BX162" s="197" t="s">
        <v>2573</v>
      </c>
      <c r="BY162" s="7" t="s">
        <v>2574</v>
      </c>
      <c r="BZ162" s="2" t="s">
        <v>1264</v>
      </c>
      <c r="CA162" s="2" t="s">
        <v>2165</v>
      </c>
      <c r="CB162" s="3" t="s">
        <v>503</v>
      </c>
      <c r="CC162" s="197" t="s">
        <v>3311</v>
      </c>
      <c r="CD162" s="197" t="s">
        <v>1973</v>
      </c>
      <c r="CE162" s="7" t="s">
        <v>1785</v>
      </c>
      <c r="CF162" s="2" t="s">
        <v>1788</v>
      </c>
      <c r="CG162" s="2" t="s">
        <v>2939</v>
      </c>
      <c r="CH162" s="3" t="s">
        <v>1258</v>
      </c>
      <c r="CI162" s="197" t="s">
        <v>619</v>
      </c>
      <c r="CJ162" s="197" t="s">
        <v>2575</v>
      </c>
      <c r="CK162" s="7" t="s">
        <v>2328</v>
      </c>
      <c r="CL162" s="2" t="s">
        <v>2576</v>
      </c>
      <c r="CM162" s="2" t="s">
        <v>2577</v>
      </c>
      <c r="CN162" s="3" t="s">
        <v>2578</v>
      </c>
      <c r="CO162" s="197" t="s">
        <v>620</v>
      </c>
      <c r="CP162" s="197" t="s">
        <v>2579</v>
      </c>
      <c r="CQ162" s="7" t="s">
        <v>2580</v>
      </c>
      <c r="CR162" s="2" t="s">
        <v>2581</v>
      </c>
      <c r="CS162" s="2" t="s">
        <v>3354</v>
      </c>
      <c r="CT162" s="3" t="s">
        <v>2582</v>
      </c>
      <c r="CU162" s="197" t="s">
        <v>2245</v>
      </c>
      <c r="CV162" s="197" t="s">
        <v>2691</v>
      </c>
      <c r="CW162" s="7" t="s">
        <v>2960</v>
      </c>
      <c r="CX162" s="2" t="s">
        <v>2345</v>
      </c>
      <c r="CY162" s="2" t="s">
        <v>2346</v>
      </c>
      <c r="CZ162" s="3" t="s">
        <v>2347</v>
      </c>
      <c r="DA162" s="197"/>
      <c r="DB162" s="197"/>
      <c r="DC162" s="7"/>
      <c r="DD162" s="2"/>
      <c r="DE162" s="2"/>
      <c r="DF162" s="3"/>
      <c r="DG162" s="197"/>
      <c r="DH162" s="197"/>
      <c r="DI162" s="7"/>
      <c r="DJ162" s="2"/>
      <c r="DK162" s="2"/>
      <c r="DL162" s="3"/>
      <c r="DM162" s="197"/>
      <c r="DN162" s="197"/>
      <c r="DO162" s="7"/>
      <c r="DP162" s="2"/>
      <c r="DQ162" s="2"/>
      <c r="DR162" s="3"/>
      <c r="DS162" s="197"/>
      <c r="DT162" s="197"/>
      <c r="DU162" s="7"/>
      <c r="DV162" s="2"/>
      <c r="DW162" s="2"/>
      <c r="DX162" s="3"/>
      <c r="DY162" s="197"/>
      <c r="DZ162" s="197"/>
      <c r="EA162" s="7"/>
      <c r="EB162" s="2"/>
      <c r="EC162" s="2"/>
      <c r="ED162" s="3"/>
      <c r="EE162" s="197"/>
      <c r="EF162" s="197"/>
      <c r="EG162" s="7"/>
      <c r="EH162" s="2"/>
      <c r="EI162" s="2"/>
      <c r="EJ162" s="3"/>
      <c r="EK162" s="197"/>
      <c r="EL162" s="197"/>
      <c r="EM162" s="7"/>
      <c r="EN162" s="2"/>
      <c r="EO162" s="2"/>
      <c r="EP162" s="3"/>
      <c r="EQ162" s="197"/>
      <c r="ER162" s="197"/>
      <c r="ES162" s="7"/>
      <c r="ET162" s="2"/>
      <c r="EU162" s="2"/>
      <c r="EV162" s="3"/>
      <c r="EW162" s="197"/>
      <c r="EX162" s="197"/>
      <c r="EY162" s="7"/>
      <c r="EZ162" s="2"/>
      <c r="FA162" s="2"/>
      <c r="FB162" s="3"/>
      <c r="FC162" s="197"/>
      <c r="FD162" s="197"/>
      <c r="FE162" s="7"/>
      <c r="FF162" s="2"/>
      <c r="FG162" s="2"/>
      <c r="FH162" s="3"/>
      <c r="FI162" s="197"/>
      <c r="FJ162" s="197"/>
      <c r="FK162" s="7"/>
      <c r="FL162" s="2"/>
      <c r="FM162" s="2"/>
      <c r="FN162" s="3"/>
      <c r="FO162" s="197"/>
      <c r="FP162" s="197"/>
      <c r="FQ162" s="7"/>
      <c r="FR162" s="2"/>
      <c r="FS162" s="2"/>
      <c r="FT162" s="3"/>
      <c r="FU162" s="197"/>
      <c r="FV162" s="197"/>
      <c r="FW162" s="7"/>
      <c r="FX162" s="2"/>
      <c r="FY162" s="2"/>
      <c r="FZ162" s="3"/>
      <c r="GA162" s="197"/>
      <c r="GB162" s="197"/>
      <c r="GC162" s="7"/>
      <c r="GD162" s="2"/>
      <c r="GE162" s="2"/>
      <c r="GF162" s="3"/>
      <c r="GG162" s="197"/>
      <c r="GH162" s="197"/>
      <c r="GI162" s="7"/>
      <c r="GJ162" s="2"/>
      <c r="GK162" s="2"/>
      <c r="GL162" s="3"/>
      <c r="GM162" s="197"/>
      <c r="GN162" s="197"/>
      <c r="GO162" s="7"/>
      <c r="GP162" s="2"/>
      <c r="GQ162" s="2"/>
      <c r="GR162" s="3"/>
      <c r="GS162" s="197"/>
      <c r="GT162" s="197"/>
      <c r="GU162" s="7"/>
      <c r="GV162" s="2"/>
      <c r="GW162" s="2"/>
      <c r="GX162" s="3"/>
      <c r="GY162" s="197"/>
      <c r="GZ162" s="197"/>
      <c r="HA162" s="7"/>
      <c r="HB162" s="2"/>
      <c r="HC162" s="2"/>
      <c r="HD162" s="3"/>
      <c r="HE162" s="197"/>
      <c r="HF162" s="197"/>
      <c r="HG162" s="7"/>
      <c r="HH162" s="2"/>
      <c r="HI162" s="2"/>
      <c r="HJ162" s="3"/>
      <c r="HK162" s="197"/>
      <c r="HL162" s="197"/>
      <c r="HM162" s="7"/>
      <c r="HN162" s="2"/>
      <c r="HO162" s="2"/>
      <c r="HP162" s="3"/>
      <c r="HQ162" s="197"/>
      <c r="HR162" s="197"/>
      <c r="HS162" s="7"/>
      <c r="HT162" s="2"/>
      <c r="HU162" s="2"/>
      <c r="HV162" s="3"/>
      <c r="HW162" s="197"/>
      <c r="HX162" s="197"/>
      <c r="HY162" s="7"/>
      <c r="HZ162" s="2"/>
      <c r="IA162" s="2"/>
      <c r="IB162" s="3"/>
      <c r="IC162" s="197"/>
      <c r="ID162" s="197"/>
      <c r="IE162" s="7"/>
      <c r="IF162" s="2"/>
      <c r="IG162" s="2"/>
      <c r="IH162" s="3"/>
      <c r="II162" s="197"/>
      <c r="IJ162" s="197"/>
      <c r="IK162" s="7"/>
      <c r="IL162" s="2"/>
      <c r="IM162" s="2"/>
      <c r="IN162" s="3"/>
      <c r="IO162" s="197"/>
      <c r="IP162" s="197"/>
      <c r="IQ162" s="7"/>
      <c r="IR162" s="2"/>
      <c r="IS162" s="2"/>
      <c r="IT162" s="3"/>
    </row>
    <row r="163" spans="1:254" s="507" customFormat="1" ht="12.9" customHeight="1" x14ac:dyDescent="0.2">
      <c r="A163" s="505" t="str">
        <f>+'Past Quartets 1st - 3rd Place'!A173</f>
        <v>2004 P</v>
      </c>
      <c r="B163" s="503">
        <f>+'Past Quartets 1st - 3rd Place'!B173</f>
        <v>27</v>
      </c>
      <c r="C163" s="280" t="s">
        <v>3592</v>
      </c>
      <c r="D163" s="197" t="s">
        <v>2728</v>
      </c>
      <c r="E163" s="2" t="s">
        <v>2793</v>
      </c>
      <c r="F163" s="2" t="s">
        <v>2729</v>
      </c>
      <c r="G163" s="2" t="s">
        <v>2730</v>
      </c>
      <c r="H163" s="3" t="s">
        <v>2731</v>
      </c>
      <c r="I163" s="197" t="s">
        <v>2373</v>
      </c>
      <c r="J163" s="204" t="s">
        <v>1837</v>
      </c>
      <c r="K163" s="27" t="s">
        <v>3350</v>
      </c>
      <c r="L163" s="2" t="s">
        <v>3351</v>
      </c>
      <c r="M163" s="27" t="s">
        <v>1639</v>
      </c>
      <c r="N163" s="27" t="s">
        <v>1311</v>
      </c>
      <c r="O163" s="197" t="s">
        <v>821</v>
      </c>
      <c r="P163" s="197" t="s">
        <v>579</v>
      </c>
      <c r="Q163" s="2" t="s">
        <v>822</v>
      </c>
      <c r="R163" s="2" t="s">
        <v>823</v>
      </c>
      <c r="S163" s="2" t="s">
        <v>824</v>
      </c>
      <c r="T163" s="3" t="s">
        <v>825</v>
      </c>
      <c r="U163" s="197" t="s">
        <v>624</v>
      </c>
      <c r="V163" s="197" t="s">
        <v>1840</v>
      </c>
      <c r="W163" s="7" t="s">
        <v>3086</v>
      </c>
      <c r="X163" s="2" t="s">
        <v>177</v>
      </c>
      <c r="Y163" s="2" t="s">
        <v>3088</v>
      </c>
      <c r="Z163" s="3" t="s">
        <v>178</v>
      </c>
      <c r="AA163" s="197" t="s">
        <v>3584</v>
      </c>
      <c r="AB163" s="250" t="s">
        <v>635</v>
      </c>
      <c r="AC163" s="27" t="s">
        <v>2265</v>
      </c>
      <c r="AD163" s="27" t="s">
        <v>3609</v>
      </c>
      <c r="AE163" s="27" t="s">
        <v>3689</v>
      </c>
      <c r="AF163" s="28" t="s">
        <v>3610</v>
      </c>
      <c r="AG163" s="197" t="s">
        <v>2348</v>
      </c>
      <c r="AH163" s="249" t="s">
        <v>148</v>
      </c>
      <c r="AI163" s="10" t="s">
        <v>2349</v>
      </c>
      <c r="AJ163" s="8" t="s">
        <v>2350</v>
      </c>
      <c r="AK163" s="8" t="s">
        <v>2351</v>
      </c>
      <c r="AL163" s="6" t="s">
        <v>2536</v>
      </c>
      <c r="AM163" s="197" t="s">
        <v>3308</v>
      </c>
      <c r="AN163" s="197" t="s">
        <v>2733</v>
      </c>
      <c r="AO163" s="7" t="s">
        <v>428</v>
      </c>
      <c r="AP163" s="2" t="s">
        <v>179</v>
      </c>
      <c r="AQ163" s="2" t="s">
        <v>180</v>
      </c>
      <c r="AR163" s="3" t="s">
        <v>181</v>
      </c>
      <c r="AS163" s="197" t="s">
        <v>625</v>
      </c>
      <c r="AT163" s="204" t="s">
        <v>2590</v>
      </c>
      <c r="AU163" s="27" t="s">
        <v>2591</v>
      </c>
      <c r="AV163" s="27" t="s">
        <v>3553</v>
      </c>
      <c r="AW163" s="27" t="s">
        <v>429</v>
      </c>
      <c r="AX163" s="27" t="s">
        <v>3601</v>
      </c>
      <c r="AY163" s="197" t="s">
        <v>3301</v>
      </c>
      <c r="AZ163" s="197" t="s">
        <v>2668</v>
      </c>
      <c r="BA163" s="2" t="s">
        <v>3846</v>
      </c>
      <c r="BB163" s="2" t="s">
        <v>184</v>
      </c>
      <c r="BC163" s="2" t="s">
        <v>3368</v>
      </c>
      <c r="BD163" s="3" t="s">
        <v>185</v>
      </c>
      <c r="BE163" s="197" t="s">
        <v>626</v>
      </c>
      <c r="BF163" s="197" t="s">
        <v>3287</v>
      </c>
      <c r="BG163" s="7" t="s">
        <v>3284</v>
      </c>
      <c r="BH163" s="2" t="s">
        <v>3273</v>
      </c>
      <c r="BI163" s="2" t="s">
        <v>1627</v>
      </c>
      <c r="BJ163" s="3" t="s">
        <v>4054</v>
      </c>
      <c r="BK163" s="197" t="s">
        <v>627</v>
      </c>
      <c r="BL163" s="197" t="s">
        <v>3826</v>
      </c>
      <c r="BM163" s="2" t="s">
        <v>1416</v>
      </c>
      <c r="BN163" s="2" t="s">
        <v>2332</v>
      </c>
      <c r="BO163" s="2" t="s">
        <v>3083</v>
      </c>
      <c r="BP163" s="3" t="s">
        <v>1268</v>
      </c>
      <c r="BQ163" s="197" t="s">
        <v>628</v>
      </c>
      <c r="BR163" s="197" t="s">
        <v>148</v>
      </c>
      <c r="BS163" s="7" t="s">
        <v>3349</v>
      </c>
      <c r="BT163" s="2" t="s">
        <v>1270</v>
      </c>
      <c r="BU163" s="2" t="s">
        <v>2530</v>
      </c>
      <c r="BV163" s="3" t="s">
        <v>2589</v>
      </c>
      <c r="BW163" s="197" t="s">
        <v>629</v>
      </c>
      <c r="BX163" s="197" t="s">
        <v>2945</v>
      </c>
      <c r="BY163" s="7" t="s">
        <v>3687</v>
      </c>
      <c r="BZ163" s="2" t="s">
        <v>2946</v>
      </c>
      <c r="CA163" s="2" t="s">
        <v>2947</v>
      </c>
      <c r="CB163" s="3" t="s">
        <v>642</v>
      </c>
      <c r="CC163" s="197" t="s">
        <v>621</v>
      </c>
      <c r="CD163" s="197" t="s">
        <v>1838</v>
      </c>
      <c r="CE163" s="2" t="s">
        <v>1839</v>
      </c>
      <c r="CF163" s="2" t="s">
        <v>430</v>
      </c>
      <c r="CG163" s="2" t="s">
        <v>431</v>
      </c>
      <c r="CH163" s="3" t="s">
        <v>432</v>
      </c>
      <c r="CI163" s="197" t="s">
        <v>2676</v>
      </c>
      <c r="CJ163" s="197" t="s">
        <v>579</v>
      </c>
      <c r="CK163" s="7" t="s">
        <v>484</v>
      </c>
      <c r="CL163" s="2" t="s">
        <v>1831</v>
      </c>
      <c r="CM163" s="2" t="s">
        <v>485</v>
      </c>
      <c r="CN163" s="3" t="s">
        <v>486</v>
      </c>
      <c r="CO163" s="197" t="s">
        <v>2356</v>
      </c>
      <c r="CP163" s="197" t="s">
        <v>2668</v>
      </c>
      <c r="CQ163" s="2" t="s">
        <v>3874</v>
      </c>
      <c r="CR163" s="2" t="s">
        <v>1420</v>
      </c>
      <c r="CS163" s="2" t="s">
        <v>1421</v>
      </c>
      <c r="CT163" s="2" t="s">
        <v>2675</v>
      </c>
      <c r="CU163" s="197" t="s">
        <v>3589</v>
      </c>
      <c r="CV163" s="197" t="s">
        <v>3612</v>
      </c>
      <c r="CW163" s="2" t="s">
        <v>3613</v>
      </c>
      <c r="CX163" s="2" t="s">
        <v>182</v>
      </c>
      <c r="CY163" s="1" t="s">
        <v>685</v>
      </c>
      <c r="CZ163" s="3" t="s">
        <v>183</v>
      </c>
      <c r="DA163" s="197" t="s">
        <v>618</v>
      </c>
      <c r="DB163" s="197" t="s">
        <v>1838</v>
      </c>
      <c r="DC163" s="2" t="s">
        <v>2952</v>
      </c>
      <c r="DD163" s="2" t="s">
        <v>2953</v>
      </c>
      <c r="DE163" s="2" t="s">
        <v>2954</v>
      </c>
      <c r="DF163" s="3" t="s">
        <v>2955</v>
      </c>
      <c r="DG163" s="197" t="s">
        <v>2244</v>
      </c>
      <c r="DH163" s="197" t="s">
        <v>2662</v>
      </c>
      <c r="DI163" s="2" t="s">
        <v>2941</v>
      </c>
      <c r="DJ163" s="2" t="s">
        <v>2942</v>
      </c>
      <c r="DK163" s="2" t="s">
        <v>2943</v>
      </c>
      <c r="DL163" s="3" t="s">
        <v>2944</v>
      </c>
      <c r="DM163" s="197" t="s">
        <v>631</v>
      </c>
      <c r="DN163" s="197" t="s">
        <v>3826</v>
      </c>
      <c r="DO163" s="7" t="s">
        <v>3527</v>
      </c>
      <c r="DP163" s="2" t="s">
        <v>2734</v>
      </c>
      <c r="DQ163" s="2" t="s">
        <v>2594</v>
      </c>
      <c r="DR163" s="3" t="s">
        <v>220</v>
      </c>
      <c r="DS163" s="197" t="s">
        <v>770</v>
      </c>
      <c r="DT163" s="197" t="s">
        <v>2573</v>
      </c>
      <c r="DU163" s="7" t="s">
        <v>350</v>
      </c>
      <c r="DV163" s="2" t="s">
        <v>1264</v>
      </c>
      <c r="DW163" s="2" t="s">
        <v>2165</v>
      </c>
      <c r="DX163" s="3" t="s">
        <v>503</v>
      </c>
      <c r="DY163" s="197"/>
      <c r="DZ163" s="197"/>
      <c r="EA163" s="7"/>
      <c r="EB163" s="2"/>
      <c r="EC163" s="2"/>
      <c r="ED163" s="3"/>
      <c r="EE163" s="197"/>
      <c r="EF163" s="197"/>
      <c r="EG163" s="7"/>
      <c r="EH163" s="2"/>
      <c r="EI163" s="2"/>
      <c r="EJ163" s="3"/>
      <c r="EK163" s="197"/>
      <c r="EL163" s="197"/>
      <c r="EM163" s="7"/>
      <c r="EN163" s="2"/>
      <c r="EO163" s="2"/>
      <c r="EP163" s="3"/>
      <c r="EQ163" s="197"/>
      <c r="ER163" s="197"/>
      <c r="ES163" s="7"/>
      <c r="ET163" s="2"/>
      <c r="EU163" s="2"/>
      <c r="EV163" s="3"/>
      <c r="EW163" s="197"/>
      <c r="EX163" s="197"/>
      <c r="EY163" s="7"/>
      <c r="EZ163" s="2"/>
      <c r="FA163" s="2"/>
      <c r="FB163" s="3"/>
      <c r="FC163" s="197"/>
      <c r="FD163" s="197"/>
      <c r="FE163" s="7"/>
      <c r="FF163" s="2"/>
      <c r="FG163" s="2"/>
      <c r="FH163" s="3"/>
      <c r="FI163" s="197"/>
      <c r="FJ163" s="197"/>
      <c r="FK163" s="7"/>
      <c r="FL163" s="2"/>
      <c r="FM163" s="2"/>
      <c r="FN163" s="3"/>
      <c r="FO163" s="197"/>
      <c r="FP163" s="197"/>
      <c r="FQ163" s="7"/>
      <c r="FR163" s="2"/>
      <c r="FS163" s="2"/>
      <c r="FT163" s="3"/>
      <c r="FU163" s="197"/>
      <c r="FV163" s="197"/>
      <c r="FW163" s="7"/>
      <c r="FX163" s="2"/>
      <c r="FY163" s="2"/>
      <c r="FZ163" s="3"/>
      <c r="GA163" s="197"/>
      <c r="GB163" s="197"/>
      <c r="GC163" s="7"/>
      <c r="GD163" s="2"/>
      <c r="GE163" s="2"/>
      <c r="GF163" s="3"/>
      <c r="GG163" s="197"/>
      <c r="GH163" s="197"/>
      <c r="GI163" s="7"/>
      <c r="GJ163" s="2"/>
      <c r="GK163" s="2"/>
      <c r="GL163" s="3"/>
      <c r="GM163" s="197"/>
      <c r="GN163" s="197"/>
      <c r="GO163" s="7"/>
      <c r="GP163" s="2"/>
      <c r="GQ163" s="2"/>
      <c r="GR163" s="3"/>
      <c r="GS163" s="197"/>
      <c r="GT163" s="197"/>
      <c r="GU163" s="7"/>
      <c r="GV163" s="2"/>
      <c r="GW163" s="2"/>
      <c r="GX163" s="3"/>
      <c r="GY163" s="197"/>
      <c r="GZ163" s="197"/>
      <c r="HA163" s="7"/>
      <c r="HB163" s="2"/>
      <c r="HC163" s="2"/>
      <c r="HD163" s="3"/>
      <c r="HE163" s="197"/>
      <c r="HF163" s="197"/>
      <c r="HG163" s="7"/>
      <c r="HH163" s="2"/>
      <c r="HI163" s="2"/>
      <c r="HJ163" s="3"/>
      <c r="HK163" s="197"/>
      <c r="HL163" s="197"/>
      <c r="HM163" s="7"/>
      <c r="HN163" s="2"/>
      <c r="HO163" s="2"/>
      <c r="HP163" s="3"/>
      <c r="HQ163" s="197"/>
      <c r="HR163" s="197"/>
      <c r="HS163" s="7"/>
      <c r="HT163" s="2"/>
      <c r="HU163" s="2"/>
      <c r="HV163" s="3"/>
      <c r="HW163" s="197"/>
      <c r="HX163" s="197"/>
      <c r="HY163" s="7"/>
      <c r="HZ163" s="2"/>
      <c r="IA163" s="2"/>
      <c r="IB163" s="3"/>
      <c r="IC163" s="197"/>
      <c r="ID163" s="197"/>
      <c r="IE163" s="7"/>
      <c r="IF163" s="2"/>
      <c r="IG163" s="2"/>
      <c r="IH163" s="3"/>
      <c r="II163" s="197"/>
      <c r="IJ163" s="197"/>
      <c r="IK163" s="7"/>
      <c r="IL163" s="2"/>
      <c r="IM163" s="2"/>
      <c r="IN163" s="3"/>
      <c r="IO163" s="197"/>
      <c r="IP163" s="197"/>
      <c r="IQ163" s="7"/>
      <c r="IR163" s="2"/>
      <c r="IS163" s="2"/>
      <c r="IT163" s="3"/>
    </row>
    <row r="164" spans="1:254" s="507" customFormat="1" ht="12.9" customHeight="1" x14ac:dyDescent="0.2">
      <c r="A164" s="505" t="str">
        <f>+'Past Quartets 1st - 3rd Place'!A174</f>
        <v>2005 P</v>
      </c>
      <c r="B164" s="503">
        <f>+'Past Quartets 1st - 3rd Place'!B174</f>
        <v>21</v>
      </c>
      <c r="C164" s="405" t="s">
        <v>632</v>
      </c>
      <c r="D164" s="197" t="s">
        <v>2668</v>
      </c>
      <c r="E164" s="2" t="s">
        <v>2672</v>
      </c>
      <c r="F164" s="2" t="s">
        <v>3081</v>
      </c>
      <c r="G164" s="2" t="s">
        <v>697</v>
      </c>
      <c r="H164" s="3" t="s">
        <v>3368</v>
      </c>
      <c r="I164" s="280" t="s">
        <v>633</v>
      </c>
      <c r="J164" s="197" t="s">
        <v>1836</v>
      </c>
      <c r="K164" s="2" t="s">
        <v>3601</v>
      </c>
      <c r="L164" s="2" t="s">
        <v>228</v>
      </c>
      <c r="M164" s="2" t="s">
        <v>3602</v>
      </c>
      <c r="N164" s="3" t="s">
        <v>252</v>
      </c>
      <c r="O164" s="197" t="s">
        <v>821</v>
      </c>
      <c r="P164" s="197" t="s">
        <v>579</v>
      </c>
      <c r="Q164" s="2" t="s">
        <v>822</v>
      </c>
      <c r="R164" s="2" t="s">
        <v>823</v>
      </c>
      <c r="S164" s="2" t="s">
        <v>824</v>
      </c>
      <c r="T164" s="3" t="s">
        <v>825</v>
      </c>
      <c r="U164" s="197" t="s">
        <v>624</v>
      </c>
      <c r="V164" s="197" t="s">
        <v>1840</v>
      </c>
      <c r="W164" s="7" t="s">
        <v>3086</v>
      </c>
      <c r="X164" s="2" t="s">
        <v>177</v>
      </c>
      <c r="Y164" s="2" t="s">
        <v>3088</v>
      </c>
      <c r="Z164" s="3" t="s">
        <v>178</v>
      </c>
      <c r="AA164" s="197" t="s">
        <v>1552</v>
      </c>
      <c r="AB164" s="204" t="s">
        <v>1426</v>
      </c>
      <c r="AC164" s="27" t="s">
        <v>735</v>
      </c>
      <c r="AD164" s="27" t="s">
        <v>166</v>
      </c>
      <c r="AE164" s="27" t="s">
        <v>2308</v>
      </c>
      <c r="AF164" s="28" t="s">
        <v>3555</v>
      </c>
      <c r="AG164" s="504" t="s">
        <v>1553</v>
      </c>
      <c r="AH164" s="197" t="s">
        <v>3580</v>
      </c>
      <c r="AI164" s="2" t="s">
        <v>1273</v>
      </c>
      <c r="AJ164" s="2" t="s">
        <v>2139</v>
      </c>
      <c r="AK164" s="2" t="s">
        <v>813</v>
      </c>
      <c r="AL164" s="3" t="s">
        <v>3690</v>
      </c>
      <c r="AM164" s="197" t="s">
        <v>621</v>
      </c>
      <c r="AN164" s="197" t="s">
        <v>1838</v>
      </c>
      <c r="AO164" s="2" t="s">
        <v>1839</v>
      </c>
      <c r="AP164" s="2" t="s">
        <v>430</v>
      </c>
      <c r="AQ164" s="2" t="s">
        <v>431</v>
      </c>
      <c r="AR164" s="3" t="s">
        <v>432</v>
      </c>
      <c r="AS164" s="280" t="s">
        <v>3311</v>
      </c>
      <c r="AT164" s="197" t="s">
        <v>1973</v>
      </c>
      <c r="AU164" s="2" t="s">
        <v>1785</v>
      </c>
      <c r="AV164" s="2" t="s">
        <v>1786</v>
      </c>
      <c r="AW164" s="2" t="s">
        <v>2939</v>
      </c>
      <c r="AX164" s="3" t="s">
        <v>1788</v>
      </c>
      <c r="AY164" s="504" t="s">
        <v>3583</v>
      </c>
      <c r="AZ164" s="197" t="s">
        <v>3826</v>
      </c>
      <c r="BA164" s="7" t="s">
        <v>1259</v>
      </c>
      <c r="BB164" s="2" t="s">
        <v>1260</v>
      </c>
      <c r="BC164" s="2" t="s">
        <v>1261</v>
      </c>
      <c r="BD164" s="3" t="s">
        <v>1262</v>
      </c>
      <c r="BE164" s="197" t="s">
        <v>3308</v>
      </c>
      <c r="BF164" s="197" t="s">
        <v>3826</v>
      </c>
      <c r="BG164" s="2" t="s">
        <v>428</v>
      </c>
      <c r="BH164" s="2" t="s">
        <v>179</v>
      </c>
      <c r="BI164" s="2" t="s">
        <v>180</v>
      </c>
      <c r="BJ164" s="3" t="s">
        <v>1274</v>
      </c>
      <c r="BK164" s="280" t="s">
        <v>827</v>
      </c>
      <c r="BL164" s="197" t="s">
        <v>2948</v>
      </c>
      <c r="BM164" s="2" t="s">
        <v>3552</v>
      </c>
      <c r="BN164" s="2" t="s">
        <v>2949</v>
      </c>
      <c r="BO164" s="2" t="s">
        <v>2950</v>
      </c>
      <c r="BP164" s="3" t="s">
        <v>2951</v>
      </c>
      <c r="BQ164" s="504" t="s">
        <v>1554</v>
      </c>
      <c r="BR164" s="245" t="s">
        <v>414</v>
      </c>
      <c r="BS164" s="2" t="s">
        <v>415</v>
      </c>
      <c r="BT164" s="2" t="s">
        <v>416</v>
      </c>
      <c r="BU164" s="2" t="s">
        <v>417</v>
      </c>
      <c r="BV164" s="3" t="s">
        <v>418</v>
      </c>
      <c r="BW164" s="197" t="s">
        <v>1555</v>
      </c>
      <c r="BX164" s="204" t="s">
        <v>3287</v>
      </c>
      <c r="BY164" s="27" t="s">
        <v>2956</v>
      </c>
      <c r="BZ164" s="27" t="s">
        <v>2957</v>
      </c>
      <c r="CA164" s="27" t="s">
        <v>2958</v>
      </c>
      <c r="CB164" s="28" t="s">
        <v>2959</v>
      </c>
      <c r="CC164" s="405" t="s">
        <v>2367</v>
      </c>
      <c r="CD164" s="197" t="s">
        <v>2368</v>
      </c>
      <c r="CE164" s="2" t="s">
        <v>289</v>
      </c>
      <c r="CF164" s="2" t="s">
        <v>2369</v>
      </c>
      <c r="CG164" s="2" t="s">
        <v>2370</v>
      </c>
      <c r="CH164" s="3" t="s">
        <v>2371</v>
      </c>
      <c r="CI164" s="280" t="s">
        <v>629</v>
      </c>
      <c r="CJ164" s="197" t="s">
        <v>2945</v>
      </c>
      <c r="CK164" s="7" t="s">
        <v>3687</v>
      </c>
      <c r="CL164" s="2" t="s">
        <v>2946</v>
      </c>
      <c r="CM164" s="2" t="s">
        <v>2947</v>
      </c>
      <c r="CN164" s="3" t="s">
        <v>642</v>
      </c>
      <c r="CO164" s="504"/>
      <c r="CP164" s="204"/>
      <c r="CQ164" s="27"/>
      <c r="CR164" s="27"/>
      <c r="CS164" s="27"/>
      <c r="CT164" s="28"/>
      <c r="CU164" s="504"/>
      <c r="CV164" s="204"/>
      <c r="CW164" s="27"/>
      <c r="CX164" s="27"/>
      <c r="CY164" s="27"/>
      <c r="CZ164" s="28"/>
      <c r="DA164" s="504"/>
      <c r="DB164" s="204"/>
      <c r="DC164" s="27"/>
      <c r="DD164" s="27"/>
      <c r="DE164" s="27"/>
      <c r="DF164" s="28"/>
      <c r="DG164" s="504"/>
      <c r="DH164" s="204"/>
      <c r="DI164" s="27"/>
      <c r="DJ164" s="27"/>
      <c r="DK164" s="27"/>
      <c r="DL164" s="28"/>
      <c r="DM164" s="504"/>
      <c r="DN164" s="204"/>
      <c r="DO164" s="27"/>
      <c r="DP164" s="27"/>
      <c r="DQ164" s="27"/>
      <c r="DR164" s="28"/>
      <c r="DS164" s="504"/>
      <c r="DT164" s="204"/>
      <c r="DU164" s="27"/>
      <c r="DV164" s="27"/>
      <c r="DW164" s="27"/>
      <c r="DX164" s="28"/>
      <c r="DY164" s="504"/>
      <c r="DZ164" s="204"/>
      <c r="EA164" s="27"/>
      <c r="EB164" s="27"/>
      <c r="EC164" s="27"/>
      <c r="ED164" s="28"/>
      <c r="EE164" s="504"/>
      <c r="EF164" s="204"/>
      <c r="EG164" s="27"/>
      <c r="EH164" s="27"/>
      <c r="EI164" s="27"/>
      <c r="EJ164" s="28"/>
      <c r="EK164" s="504"/>
      <c r="EL164" s="204"/>
      <c r="EM164" s="27"/>
      <c r="EN164" s="27"/>
      <c r="EO164" s="27"/>
      <c r="EP164" s="28"/>
      <c r="EQ164" s="504"/>
      <c r="ER164" s="204"/>
      <c r="ES164" s="27"/>
      <c r="ET164" s="27"/>
      <c r="EU164" s="27"/>
      <c r="EV164" s="28"/>
      <c r="EW164" s="504"/>
      <c r="EX164" s="204"/>
      <c r="EY164" s="27"/>
      <c r="EZ164" s="27"/>
      <c r="FA164" s="27"/>
      <c r="FB164" s="28"/>
      <c r="FC164" s="504"/>
      <c r="FD164" s="204"/>
      <c r="FE164" s="27"/>
      <c r="FF164" s="27"/>
      <c r="FG164" s="27"/>
      <c r="FH164" s="28"/>
      <c r="FI164" s="504"/>
      <c r="FJ164" s="204"/>
      <c r="FK164" s="27"/>
      <c r="FL164" s="27"/>
      <c r="FM164" s="27"/>
      <c r="FN164" s="28"/>
      <c r="FO164" s="504"/>
      <c r="FP164" s="204"/>
      <c r="FQ164" s="27"/>
      <c r="FR164" s="27"/>
      <c r="FS164" s="27"/>
      <c r="FT164" s="28"/>
      <c r="FU164" s="504"/>
      <c r="FV164" s="204"/>
      <c r="FW164" s="27"/>
      <c r="FX164" s="27"/>
      <c r="FY164" s="27"/>
      <c r="FZ164" s="28"/>
      <c r="GA164" s="504"/>
      <c r="GB164" s="204"/>
      <c r="GC164" s="27"/>
      <c r="GD164" s="27"/>
      <c r="GE164" s="27"/>
      <c r="GF164" s="28"/>
      <c r="GG164" s="504"/>
      <c r="GH164" s="204"/>
      <c r="GI164" s="27"/>
      <c r="GJ164" s="27"/>
      <c r="GK164" s="27"/>
      <c r="GL164" s="28"/>
      <c r="GM164" s="197"/>
      <c r="GN164" s="204"/>
      <c r="GO164" s="27"/>
      <c r="GP164" s="27"/>
      <c r="GQ164" s="27"/>
      <c r="GR164" s="28"/>
      <c r="GS164" s="504"/>
      <c r="GT164" s="204"/>
      <c r="GU164" s="27"/>
      <c r="GV164" s="27"/>
      <c r="GW164" s="27"/>
      <c r="GX164" s="28"/>
      <c r="GY164" s="504"/>
      <c r="GZ164" s="204"/>
      <c r="HA164" s="27"/>
      <c r="HB164" s="27"/>
      <c r="HC164" s="27"/>
      <c r="HD164" s="28"/>
      <c r="HE164" s="504"/>
      <c r="HF164" s="204"/>
      <c r="HG164" s="27"/>
      <c r="HH164" s="27"/>
      <c r="HI164" s="27"/>
      <c r="HJ164" s="28"/>
      <c r="HK164" s="504"/>
      <c r="HL164" s="204"/>
      <c r="HM164" s="27"/>
      <c r="HN164" s="27"/>
      <c r="HO164" s="27"/>
      <c r="HP164" s="28"/>
      <c r="HQ164" s="504"/>
      <c r="HR164" s="204"/>
      <c r="HS164" s="27"/>
      <c r="HT164" s="27"/>
      <c r="HU164" s="27"/>
      <c r="HV164" s="28"/>
      <c r="HW164" s="504"/>
      <c r="HX164" s="204"/>
      <c r="HY164" s="27"/>
      <c r="HZ164" s="27"/>
      <c r="IA164" s="27"/>
      <c r="IB164" s="28"/>
      <c r="IC164" s="504"/>
      <c r="ID164" s="204"/>
      <c r="IE164" s="27"/>
      <c r="IF164" s="27"/>
      <c r="IG164" s="27"/>
      <c r="IH164" s="28"/>
      <c r="II164" s="504"/>
      <c r="IJ164" s="204"/>
      <c r="IK164" s="27"/>
      <c r="IL164" s="27"/>
      <c r="IM164" s="27"/>
      <c r="IN164" s="28"/>
      <c r="IO164" s="504"/>
      <c r="IP164" s="204"/>
      <c r="IQ164" s="27"/>
      <c r="IR164" s="27"/>
      <c r="IS164" s="27"/>
      <c r="IT164" s="28"/>
    </row>
    <row r="165" spans="1:254" s="507" customFormat="1" ht="12.9" customHeight="1" x14ac:dyDescent="0.2">
      <c r="A165" s="505" t="str">
        <f>+'Past Quartets 1st - 3rd Place'!A175</f>
        <v>2006 P</v>
      </c>
      <c r="B165" s="503">
        <f>+'Past Quartets 1st - 3rd Place'!B175</f>
        <v>24</v>
      </c>
      <c r="C165" s="405" t="s">
        <v>632</v>
      </c>
      <c r="D165" s="197" t="s">
        <v>2668</v>
      </c>
      <c r="E165" s="2" t="s">
        <v>2672</v>
      </c>
      <c r="F165" s="2" t="s">
        <v>3081</v>
      </c>
      <c r="G165" s="2" t="s">
        <v>697</v>
      </c>
      <c r="H165" s="3" t="s">
        <v>3368</v>
      </c>
      <c r="I165" s="197" t="s">
        <v>413</v>
      </c>
      <c r="J165" s="197" t="s">
        <v>414</v>
      </c>
      <c r="K165" s="7" t="s">
        <v>415</v>
      </c>
      <c r="L165" s="2" t="s">
        <v>416</v>
      </c>
      <c r="M165" s="2" t="s">
        <v>417</v>
      </c>
      <c r="N165" s="3" t="s">
        <v>418</v>
      </c>
      <c r="O165" s="197" t="s">
        <v>821</v>
      </c>
      <c r="P165" s="197" t="s">
        <v>579</v>
      </c>
      <c r="Q165" s="2" t="s">
        <v>822</v>
      </c>
      <c r="R165" s="2" t="s">
        <v>823</v>
      </c>
      <c r="S165" s="2" t="s">
        <v>824</v>
      </c>
      <c r="T165" s="3" t="s">
        <v>825</v>
      </c>
      <c r="U165" s="197" t="s">
        <v>3308</v>
      </c>
      <c r="V165" s="197" t="s">
        <v>2733</v>
      </c>
      <c r="W165" s="7" t="s">
        <v>428</v>
      </c>
      <c r="X165" s="2" t="s">
        <v>179</v>
      </c>
      <c r="Y165" s="2" t="s">
        <v>180</v>
      </c>
      <c r="Z165" s="3" t="s">
        <v>181</v>
      </c>
      <c r="AA165" s="197" t="s">
        <v>1552</v>
      </c>
      <c r="AB165" s="204" t="s">
        <v>1426</v>
      </c>
      <c r="AC165" s="27" t="s">
        <v>735</v>
      </c>
      <c r="AD165" s="27" t="s">
        <v>166</v>
      </c>
      <c r="AE165" s="27" t="s">
        <v>2308</v>
      </c>
      <c r="AF165" s="28" t="s">
        <v>3555</v>
      </c>
      <c r="AG165" s="245" t="s">
        <v>3338</v>
      </c>
      <c r="AH165" s="245" t="s">
        <v>3090</v>
      </c>
      <c r="AI165" s="2" t="s">
        <v>3091</v>
      </c>
      <c r="AJ165" s="2" t="s">
        <v>3252</v>
      </c>
      <c r="AK165" s="2" t="s">
        <v>3092</v>
      </c>
      <c r="AL165" s="3" t="s">
        <v>3093</v>
      </c>
      <c r="AM165" s="197" t="s">
        <v>3583</v>
      </c>
      <c r="AN165" s="197" t="s">
        <v>3826</v>
      </c>
      <c r="AO165" s="7" t="s">
        <v>1259</v>
      </c>
      <c r="AP165" s="2" t="s">
        <v>1260</v>
      </c>
      <c r="AQ165" s="2" t="s">
        <v>1261</v>
      </c>
      <c r="AR165" s="3" t="s">
        <v>1262</v>
      </c>
      <c r="AS165" s="197" t="s">
        <v>1556</v>
      </c>
      <c r="AT165" s="197" t="s">
        <v>1266</v>
      </c>
      <c r="AU165" s="7" t="s">
        <v>3086</v>
      </c>
      <c r="AV165" s="2" t="s">
        <v>177</v>
      </c>
      <c r="AW165" s="2" t="s">
        <v>3872</v>
      </c>
      <c r="AX165" s="3" t="s">
        <v>178</v>
      </c>
      <c r="AY165" s="197" t="s">
        <v>3311</v>
      </c>
      <c r="AZ165" s="197" t="s">
        <v>1973</v>
      </c>
      <c r="BA165" s="7" t="s">
        <v>1785</v>
      </c>
      <c r="BB165" s="2" t="s">
        <v>1788</v>
      </c>
      <c r="BC165" s="2" t="s">
        <v>2939</v>
      </c>
      <c r="BD165" s="3" t="s">
        <v>1258</v>
      </c>
      <c r="BE165" s="197" t="s">
        <v>1557</v>
      </c>
      <c r="BF165" s="197" t="s">
        <v>3029</v>
      </c>
      <c r="BG165" s="7" t="s">
        <v>2417</v>
      </c>
      <c r="BH165" s="2" t="s">
        <v>1270</v>
      </c>
      <c r="BI165" s="2" t="s">
        <v>2462</v>
      </c>
      <c r="BJ165" s="3" t="s">
        <v>2457</v>
      </c>
      <c r="BK165" s="197" t="s">
        <v>2356</v>
      </c>
      <c r="BL165" s="197" t="s">
        <v>2668</v>
      </c>
      <c r="BM165" s="2" t="s">
        <v>3874</v>
      </c>
      <c r="BN165" s="2" t="s">
        <v>1420</v>
      </c>
      <c r="BO165" s="2" t="s">
        <v>1421</v>
      </c>
      <c r="BP165" s="2" t="s">
        <v>2675</v>
      </c>
      <c r="BQ165" s="197" t="s">
        <v>1558</v>
      </c>
      <c r="BR165" s="204" t="s">
        <v>2639</v>
      </c>
      <c r="BS165" s="27" t="s">
        <v>3958</v>
      </c>
      <c r="BT165" s="27" t="s">
        <v>3959</v>
      </c>
      <c r="BU165" s="27" t="s">
        <v>3960</v>
      </c>
      <c r="BV165" s="28" t="s">
        <v>2533</v>
      </c>
      <c r="BW165" s="197" t="s">
        <v>3589</v>
      </c>
      <c r="BX165" s="197" t="s">
        <v>3612</v>
      </c>
      <c r="BY165" s="2" t="s">
        <v>3613</v>
      </c>
      <c r="BZ165" s="2" t="s">
        <v>182</v>
      </c>
      <c r="CA165" s="1" t="s">
        <v>685</v>
      </c>
      <c r="CB165" s="3" t="s">
        <v>183</v>
      </c>
      <c r="CC165" s="197" t="s">
        <v>1559</v>
      </c>
      <c r="CD165" s="197" t="s">
        <v>3961</v>
      </c>
      <c r="CE165" s="7" t="s">
        <v>2658</v>
      </c>
      <c r="CF165" s="2" t="s">
        <v>3962</v>
      </c>
      <c r="CG165" s="2" t="s">
        <v>3963</v>
      </c>
      <c r="CH165" s="3" t="s">
        <v>3964</v>
      </c>
      <c r="CI165" s="197" t="s">
        <v>1560</v>
      </c>
      <c r="CJ165" s="197" t="s">
        <v>3292</v>
      </c>
      <c r="CK165" s="419" t="s">
        <v>3965</v>
      </c>
      <c r="CL165" s="419" t="s">
        <v>3660</v>
      </c>
      <c r="CM165" s="419" t="s">
        <v>2940</v>
      </c>
      <c r="CN165" s="479" t="s">
        <v>178</v>
      </c>
      <c r="CO165" s="197" t="s">
        <v>1878</v>
      </c>
      <c r="CP165" s="204" t="s">
        <v>3973</v>
      </c>
      <c r="CQ165" s="27" t="s">
        <v>3974</v>
      </c>
      <c r="CR165" s="27" t="s">
        <v>3975</v>
      </c>
      <c r="CS165" s="27" t="s">
        <v>3976</v>
      </c>
      <c r="CT165" s="28" t="s">
        <v>3977</v>
      </c>
      <c r="CU165" s="197" t="s">
        <v>1561</v>
      </c>
      <c r="CV165" s="204" t="s">
        <v>3357</v>
      </c>
      <c r="CW165" s="27" t="s">
        <v>3358</v>
      </c>
      <c r="CX165" s="27" t="s">
        <v>3359</v>
      </c>
      <c r="CY165" s="27" t="s">
        <v>3361</v>
      </c>
      <c r="CZ165" s="28" t="s">
        <v>2593</v>
      </c>
      <c r="DA165" s="197" t="s">
        <v>1562</v>
      </c>
      <c r="DB165" s="197" t="s">
        <v>2668</v>
      </c>
      <c r="DC165" s="2" t="s">
        <v>3369</v>
      </c>
      <c r="DD165" s="2" t="s">
        <v>3370</v>
      </c>
      <c r="DE165" s="2" t="s">
        <v>3371</v>
      </c>
      <c r="DF165" s="3" t="s">
        <v>3372</v>
      </c>
      <c r="DG165" s="197"/>
      <c r="DH165" s="204"/>
      <c r="DI165" s="27"/>
      <c r="DJ165" s="27"/>
      <c r="DK165" s="27"/>
      <c r="DL165" s="28"/>
      <c r="DM165" s="197"/>
      <c r="DN165" s="204"/>
      <c r="DO165" s="27"/>
      <c r="DP165" s="27"/>
      <c r="DQ165" s="27"/>
      <c r="DR165" s="28"/>
      <c r="DS165" s="197"/>
      <c r="DT165" s="204"/>
      <c r="DU165" s="27"/>
      <c r="DV165" s="27"/>
      <c r="DW165" s="27"/>
      <c r="DX165" s="28"/>
      <c r="DY165" s="197"/>
      <c r="DZ165" s="204"/>
      <c r="EA165" s="27"/>
      <c r="EB165" s="27"/>
      <c r="EC165" s="27"/>
      <c r="ED165" s="28"/>
      <c r="EE165" s="197"/>
      <c r="EF165" s="204"/>
      <c r="EG165" s="27"/>
      <c r="EH165" s="27"/>
      <c r="EI165" s="27"/>
      <c r="EJ165" s="28"/>
      <c r="EK165" s="197"/>
      <c r="EL165" s="204"/>
      <c r="EM165" s="27"/>
      <c r="EN165" s="27"/>
      <c r="EO165" s="27"/>
      <c r="EP165" s="28"/>
      <c r="EQ165" s="197"/>
      <c r="ER165" s="204"/>
      <c r="ES165" s="27"/>
      <c r="ET165" s="27"/>
      <c r="EU165" s="27"/>
      <c r="EV165" s="28"/>
      <c r="EW165" s="197"/>
      <c r="EX165" s="204"/>
      <c r="EY165" s="27"/>
      <c r="EZ165" s="27"/>
      <c r="FA165" s="27"/>
      <c r="FB165" s="28"/>
      <c r="FC165" s="197"/>
      <c r="FD165" s="204"/>
      <c r="FE165" s="27"/>
      <c r="FF165" s="27"/>
      <c r="FG165" s="27"/>
      <c r="FH165" s="28"/>
      <c r="FI165" s="197"/>
      <c r="FJ165" s="204"/>
      <c r="FK165" s="27"/>
      <c r="FL165" s="27"/>
      <c r="FM165" s="27"/>
      <c r="FN165" s="28"/>
      <c r="FO165" s="197"/>
      <c r="FP165" s="204"/>
      <c r="FQ165" s="27"/>
      <c r="FR165" s="27"/>
      <c r="FS165" s="27"/>
      <c r="FT165" s="28"/>
      <c r="FU165" s="197"/>
      <c r="FV165" s="204"/>
      <c r="FW165" s="27"/>
      <c r="FX165" s="27"/>
      <c r="FY165" s="27"/>
      <c r="FZ165" s="28"/>
      <c r="GA165" s="197"/>
      <c r="GB165" s="204"/>
      <c r="GC165" s="27"/>
      <c r="GD165" s="27"/>
      <c r="GE165" s="27"/>
      <c r="GF165" s="28"/>
      <c r="GG165" s="197"/>
      <c r="GH165" s="204"/>
      <c r="GI165" s="27"/>
      <c r="GJ165" s="27"/>
      <c r="GK165" s="27"/>
      <c r="GL165" s="28"/>
      <c r="GM165" s="197"/>
      <c r="GN165" s="204"/>
      <c r="GO165" s="27"/>
      <c r="GP165" s="27"/>
      <c r="GQ165" s="27"/>
      <c r="GR165" s="28"/>
      <c r="GS165" s="197"/>
      <c r="GT165" s="204"/>
      <c r="GU165" s="27"/>
      <c r="GV165" s="27"/>
      <c r="GW165" s="27"/>
      <c r="GX165" s="28"/>
      <c r="GY165" s="197"/>
      <c r="GZ165" s="204"/>
      <c r="HA165" s="27"/>
      <c r="HB165" s="27"/>
      <c r="HC165" s="27"/>
      <c r="HD165" s="28"/>
      <c r="HE165" s="197"/>
      <c r="HF165" s="204"/>
      <c r="HG165" s="27"/>
      <c r="HH165" s="27"/>
      <c r="HI165" s="27"/>
      <c r="HJ165" s="28"/>
      <c r="HK165" s="197"/>
      <c r="HL165" s="204"/>
      <c r="HM165" s="27"/>
      <c r="HN165" s="27"/>
      <c r="HO165" s="27"/>
      <c r="HP165" s="28"/>
      <c r="HQ165" s="197"/>
      <c r="HR165" s="204"/>
      <c r="HS165" s="27"/>
      <c r="HT165" s="27"/>
      <c r="HU165" s="27"/>
      <c r="HV165" s="28"/>
      <c r="HW165" s="197"/>
      <c r="HX165" s="204"/>
      <c r="HY165" s="27"/>
      <c r="HZ165" s="27"/>
      <c r="IA165" s="27"/>
      <c r="IB165" s="28"/>
      <c r="IC165" s="197"/>
      <c r="ID165" s="204"/>
      <c r="IE165" s="27"/>
      <c r="IF165" s="27"/>
      <c r="IG165" s="27"/>
      <c r="IH165" s="28"/>
      <c r="II165" s="197"/>
      <c r="IJ165" s="204"/>
      <c r="IK165" s="27"/>
      <c r="IL165" s="27"/>
      <c r="IM165" s="27"/>
      <c r="IN165" s="28"/>
      <c r="IO165" s="197"/>
      <c r="IP165" s="204"/>
      <c r="IQ165" s="27"/>
      <c r="IR165" s="27"/>
      <c r="IS165" s="27"/>
      <c r="IT165" s="28"/>
    </row>
    <row r="166" spans="1:254" s="507" customFormat="1" ht="12.9" customHeight="1" x14ac:dyDescent="0.2">
      <c r="A166" s="505" t="str">
        <f>+'Past Quartets 1st - 3rd Place'!A176</f>
        <v>2007 P</v>
      </c>
      <c r="B166" s="503">
        <f>+'Past Quartets 1st - 3rd Place'!B176</f>
        <v>33</v>
      </c>
      <c r="C166" s="197" t="s">
        <v>821</v>
      </c>
      <c r="D166" s="197" t="s">
        <v>579</v>
      </c>
      <c r="E166" s="2" t="s">
        <v>822</v>
      </c>
      <c r="F166" s="2" t="s">
        <v>823</v>
      </c>
      <c r="G166" s="2" t="s">
        <v>824</v>
      </c>
      <c r="H166" s="3" t="s">
        <v>825</v>
      </c>
      <c r="I166" s="197" t="s">
        <v>1563</v>
      </c>
      <c r="J166" s="197" t="s">
        <v>4041</v>
      </c>
      <c r="K166" s="2" t="s">
        <v>2972</v>
      </c>
      <c r="L166" s="2" t="s">
        <v>1408</v>
      </c>
      <c r="M166" s="2" t="s">
        <v>3255</v>
      </c>
      <c r="N166" s="2" t="s">
        <v>3256</v>
      </c>
      <c r="O166" s="245" t="s">
        <v>3338</v>
      </c>
      <c r="P166" s="245" t="s">
        <v>3090</v>
      </c>
      <c r="Q166" s="2" t="s">
        <v>3091</v>
      </c>
      <c r="R166" s="2" t="s">
        <v>3252</v>
      </c>
      <c r="S166" s="2" t="s">
        <v>3092</v>
      </c>
      <c r="T166" s="3" t="s">
        <v>3093</v>
      </c>
      <c r="U166" s="197" t="s">
        <v>412</v>
      </c>
      <c r="V166" s="197" t="s">
        <v>4079</v>
      </c>
      <c r="W166" s="2" t="s">
        <v>3086</v>
      </c>
      <c r="X166" s="2" t="s">
        <v>3087</v>
      </c>
      <c r="Y166" s="2" t="s">
        <v>3088</v>
      </c>
      <c r="Z166" s="2" t="s">
        <v>3089</v>
      </c>
      <c r="AA166" s="197" t="s">
        <v>1554</v>
      </c>
      <c r="AB166" s="245" t="s">
        <v>414</v>
      </c>
      <c r="AC166" s="2" t="s">
        <v>415</v>
      </c>
      <c r="AD166" s="2" t="s">
        <v>416</v>
      </c>
      <c r="AE166" s="2" t="s">
        <v>417</v>
      </c>
      <c r="AF166" s="3" t="s">
        <v>418</v>
      </c>
      <c r="AG166" s="504" t="s">
        <v>3583</v>
      </c>
      <c r="AH166" s="205" t="s">
        <v>2733</v>
      </c>
      <c r="AI166" s="29" t="s">
        <v>3604</v>
      </c>
      <c r="AJ166" s="27" t="s">
        <v>2332</v>
      </c>
      <c r="AK166" s="29" t="s">
        <v>3606</v>
      </c>
      <c r="AL166" s="189" t="s">
        <v>3607</v>
      </c>
      <c r="AM166" s="197" t="s">
        <v>1557</v>
      </c>
      <c r="AN166" s="197" t="s">
        <v>3029</v>
      </c>
      <c r="AO166" s="7" t="s">
        <v>2417</v>
      </c>
      <c r="AP166" s="2" t="s">
        <v>1270</v>
      </c>
      <c r="AQ166" s="2" t="s">
        <v>2462</v>
      </c>
      <c r="AR166" s="3" t="s">
        <v>2457</v>
      </c>
      <c r="AS166" s="197" t="s">
        <v>230</v>
      </c>
      <c r="AT166" s="197" t="s">
        <v>1973</v>
      </c>
      <c r="AU166" s="2" t="s">
        <v>1785</v>
      </c>
      <c r="AV166" s="2" t="s">
        <v>1786</v>
      </c>
      <c r="AW166" s="2" t="s">
        <v>2962</v>
      </c>
      <c r="AX166" s="3" t="s">
        <v>1788</v>
      </c>
      <c r="AY166" s="197" t="s">
        <v>1564</v>
      </c>
      <c r="AZ166" s="197" t="s">
        <v>1832</v>
      </c>
      <c r="BA166" s="2" t="s">
        <v>1833</v>
      </c>
      <c r="BB166" s="2" t="s">
        <v>1834</v>
      </c>
      <c r="BC166" s="2" t="s">
        <v>1887</v>
      </c>
      <c r="BD166" s="3" t="s">
        <v>1835</v>
      </c>
      <c r="BE166" s="197" t="s">
        <v>629</v>
      </c>
      <c r="BF166" s="197" t="s">
        <v>2945</v>
      </c>
      <c r="BG166" s="7" t="s">
        <v>3687</v>
      </c>
      <c r="BH166" s="2" t="s">
        <v>2946</v>
      </c>
      <c r="BI166" s="2" t="s">
        <v>2947</v>
      </c>
      <c r="BJ166" s="3" t="s">
        <v>642</v>
      </c>
      <c r="BK166" s="197" t="s">
        <v>618</v>
      </c>
      <c r="BL166" s="197" t="s">
        <v>1838</v>
      </c>
      <c r="BM166" s="2" t="s">
        <v>2952</v>
      </c>
      <c r="BN166" s="2" t="s">
        <v>2953</v>
      </c>
      <c r="BO166" s="2" t="s">
        <v>2954</v>
      </c>
      <c r="BP166" s="3" t="s">
        <v>2955</v>
      </c>
      <c r="BQ166" s="197" t="s">
        <v>1285</v>
      </c>
      <c r="BR166" s="197" t="s">
        <v>3033</v>
      </c>
      <c r="BS166" s="2" t="s">
        <v>3091</v>
      </c>
      <c r="BT166" s="27" t="s">
        <v>1369</v>
      </c>
      <c r="BU166" s="27" t="s">
        <v>1370</v>
      </c>
      <c r="BV166" s="28" t="s">
        <v>3271</v>
      </c>
      <c r="BW166" s="197" t="s">
        <v>1565</v>
      </c>
      <c r="BX166" s="197" t="s">
        <v>407</v>
      </c>
      <c r="BY166" s="2" t="s">
        <v>3527</v>
      </c>
      <c r="BZ166" s="2" t="s">
        <v>3557</v>
      </c>
      <c r="CA166" s="2" t="s">
        <v>3083</v>
      </c>
      <c r="CB166" s="3" t="s">
        <v>220</v>
      </c>
      <c r="CC166" s="197" t="s">
        <v>1566</v>
      </c>
      <c r="CD166" s="197" t="s">
        <v>3292</v>
      </c>
      <c r="CE166" s="7" t="s">
        <v>3965</v>
      </c>
      <c r="CF166" s="2" t="s">
        <v>3966</v>
      </c>
      <c r="CG166" s="2" t="s">
        <v>3967</v>
      </c>
      <c r="CH166" s="3" t="s">
        <v>178</v>
      </c>
      <c r="CI166" s="197" t="s">
        <v>2525</v>
      </c>
      <c r="CJ166" s="197" t="s">
        <v>2526</v>
      </c>
      <c r="CK166" s="2" t="s">
        <v>3972</v>
      </c>
      <c r="CL166" s="2" t="s">
        <v>2528</v>
      </c>
      <c r="CM166" s="2" t="s">
        <v>2530</v>
      </c>
      <c r="CN166" s="3" t="s">
        <v>3911</v>
      </c>
      <c r="CO166" s="197" t="s">
        <v>1558</v>
      </c>
      <c r="CP166" s="204" t="s">
        <v>2639</v>
      </c>
      <c r="CQ166" s="27" t="s">
        <v>3958</v>
      </c>
      <c r="CR166" s="27" t="s">
        <v>3959</v>
      </c>
      <c r="CS166" s="27" t="s">
        <v>2533</v>
      </c>
      <c r="CT166" s="28" t="s">
        <v>2592</v>
      </c>
      <c r="CU166" s="197" t="s">
        <v>1567</v>
      </c>
      <c r="CV166" s="204" t="s">
        <v>3580</v>
      </c>
      <c r="CW166" s="27" t="s">
        <v>3880</v>
      </c>
      <c r="CX166" s="27" t="s">
        <v>3985</v>
      </c>
      <c r="CY166" s="27" t="s">
        <v>3986</v>
      </c>
      <c r="CZ166" s="28" t="s">
        <v>3987</v>
      </c>
      <c r="DA166" s="197" t="s">
        <v>1568</v>
      </c>
      <c r="DB166" s="261" t="s">
        <v>2668</v>
      </c>
      <c r="DC166" s="27" t="s">
        <v>2965</v>
      </c>
      <c r="DD166" s="27" t="s">
        <v>2966</v>
      </c>
      <c r="DE166" s="27" t="s">
        <v>3367</v>
      </c>
      <c r="DF166" s="28" t="s">
        <v>3368</v>
      </c>
      <c r="DG166" s="197" t="s">
        <v>2333</v>
      </c>
      <c r="DH166" s="197" t="s">
        <v>148</v>
      </c>
      <c r="DI166" s="7" t="s">
        <v>2334</v>
      </c>
      <c r="DJ166" s="2" t="s">
        <v>2335</v>
      </c>
      <c r="DK166" s="2" t="s">
        <v>2336</v>
      </c>
      <c r="DL166" s="3" t="s">
        <v>2337</v>
      </c>
      <c r="DM166" s="197" t="s">
        <v>2242</v>
      </c>
      <c r="DN166" s="204" t="s">
        <v>1636</v>
      </c>
      <c r="DO166" s="27" t="s">
        <v>3874</v>
      </c>
      <c r="DP166" s="27" t="s">
        <v>184</v>
      </c>
      <c r="DQ166" s="27" t="s">
        <v>3876</v>
      </c>
      <c r="DR166" s="28" t="s">
        <v>3346</v>
      </c>
      <c r="DS166" s="197" t="s">
        <v>1878</v>
      </c>
      <c r="DT166" s="204" t="s">
        <v>3973</v>
      </c>
      <c r="DU166" s="27" t="s">
        <v>3974</v>
      </c>
      <c r="DV166" s="27" t="s">
        <v>1509</v>
      </c>
      <c r="DW166" s="27" t="s">
        <v>3976</v>
      </c>
      <c r="DX166" s="28" t="s">
        <v>3977</v>
      </c>
      <c r="DY166" s="197" t="s">
        <v>1569</v>
      </c>
      <c r="DZ166" s="204" t="s">
        <v>2997</v>
      </c>
      <c r="EA166" s="27" t="s">
        <v>2998</v>
      </c>
      <c r="EB166" s="27" t="s">
        <v>182</v>
      </c>
      <c r="EC166" s="27" t="s">
        <v>2999</v>
      </c>
      <c r="ED166" s="3" t="s">
        <v>3818</v>
      </c>
      <c r="EE166" s="197" t="s">
        <v>1570</v>
      </c>
      <c r="EF166" s="204"/>
      <c r="EG166" s="27" t="s">
        <v>1073</v>
      </c>
      <c r="EH166" s="27" t="s">
        <v>1074</v>
      </c>
      <c r="EI166" s="27" t="s">
        <v>1075</v>
      </c>
      <c r="EJ166" s="28" t="s">
        <v>1076</v>
      </c>
      <c r="EK166" s="197" t="s">
        <v>1571</v>
      </c>
      <c r="EL166" s="204" t="s">
        <v>3054</v>
      </c>
      <c r="EM166" s="420" t="s">
        <v>3057</v>
      </c>
      <c r="EN166" s="420" t="s">
        <v>3055</v>
      </c>
      <c r="EO166" s="420" t="s">
        <v>4320</v>
      </c>
      <c r="EP166" s="579" t="s">
        <v>4321</v>
      </c>
      <c r="EQ166" s="197" t="s">
        <v>1559</v>
      </c>
      <c r="ER166" s="204" t="s">
        <v>3961</v>
      </c>
      <c r="ES166" s="27" t="s">
        <v>2658</v>
      </c>
      <c r="ET166" s="27" t="s">
        <v>1515</v>
      </c>
      <c r="EU166" s="27" t="s">
        <v>3963</v>
      </c>
      <c r="EV166" s="28" t="s">
        <v>3964</v>
      </c>
      <c r="EW166" s="197" t="s">
        <v>3589</v>
      </c>
      <c r="EX166" s="197" t="s">
        <v>3612</v>
      </c>
      <c r="EY166" s="2" t="s">
        <v>3613</v>
      </c>
      <c r="EZ166" s="2" t="s">
        <v>182</v>
      </c>
      <c r="FA166" s="1" t="s">
        <v>685</v>
      </c>
      <c r="FB166" s="3" t="s">
        <v>183</v>
      </c>
      <c r="FC166" s="197" t="s">
        <v>1572</v>
      </c>
      <c r="FD166" s="197" t="s">
        <v>487</v>
      </c>
      <c r="FE166" s="420" t="s">
        <v>3843</v>
      </c>
      <c r="FF166" s="420" t="s">
        <v>4319</v>
      </c>
      <c r="FG166" s="420" t="s">
        <v>3371</v>
      </c>
      <c r="FH166" s="579" t="s">
        <v>3372</v>
      </c>
      <c r="FI166" s="197"/>
      <c r="FJ166" s="204"/>
      <c r="FK166" s="27"/>
      <c r="FL166" s="27"/>
      <c r="FM166" s="27"/>
      <c r="FN166" s="28"/>
      <c r="FO166" s="197"/>
      <c r="FP166" s="204"/>
      <c r="FQ166" s="27"/>
      <c r="FR166" s="27"/>
      <c r="FS166" s="27"/>
      <c r="FT166" s="28"/>
      <c r="FU166" s="197"/>
      <c r="FV166" s="204"/>
      <c r="FW166" s="27"/>
      <c r="FX166" s="27"/>
      <c r="FY166" s="27"/>
      <c r="FZ166" s="28"/>
      <c r="GA166" s="197"/>
      <c r="GB166" s="204"/>
      <c r="GC166" s="27"/>
      <c r="GD166" s="27"/>
      <c r="GE166" s="27"/>
      <c r="GF166" s="28"/>
      <c r="GG166" s="197"/>
      <c r="GH166" s="204"/>
      <c r="GI166" s="27"/>
      <c r="GJ166" s="27"/>
      <c r="GK166" s="27"/>
      <c r="GL166" s="28"/>
      <c r="GM166" s="197"/>
      <c r="GN166" s="204"/>
      <c r="GO166" s="27"/>
      <c r="GP166" s="27"/>
      <c r="GQ166" s="27"/>
      <c r="GR166" s="28"/>
      <c r="GS166" s="197"/>
      <c r="GT166" s="204"/>
      <c r="GU166" s="27"/>
      <c r="GV166" s="27"/>
      <c r="GW166" s="27"/>
      <c r="GX166" s="28"/>
      <c r="GY166" s="197"/>
      <c r="GZ166" s="204"/>
      <c r="HA166" s="27"/>
      <c r="HB166" s="27"/>
      <c r="HC166" s="27"/>
      <c r="HD166" s="28"/>
      <c r="HE166" s="197"/>
      <c r="HF166" s="204"/>
      <c r="HG166" s="27"/>
      <c r="HH166" s="27"/>
      <c r="HI166" s="27"/>
      <c r="HJ166" s="28"/>
      <c r="HK166" s="197"/>
      <c r="HL166" s="204"/>
      <c r="HM166" s="27"/>
      <c r="HN166" s="27"/>
      <c r="HO166" s="27"/>
      <c r="HP166" s="28"/>
      <c r="HQ166" s="197"/>
      <c r="HR166" s="204"/>
      <c r="HS166" s="27"/>
      <c r="HT166" s="27"/>
      <c r="HU166" s="27"/>
      <c r="HV166" s="28"/>
      <c r="HW166" s="197"/>
      <c r="HX166" s="204"/>
      <c r="HY166" s="27"/>
      <c r="HZ166" s="27"/>
      <c r="IA166" s="27"/>
      <c r="IB166" s="28"/>
      <c r="IC166" s="197"/>
      <c r="ID166" s="204"/>
      <c r="IE166" s="27"/>
      <c r="IF166" s="27"/>
      <c r="IG166" s="27"/>
      <c r="IH166" s="28"/>
      <c r="II166" s="197"/>
      <c r="IJ166" s="204"/>
      <c r="IK166" s="27"/>
      <c r="IL166" s="27"/>
      <c r="IM166" s="27"/>
      <c r="IN166" s="28"/>
      <c r="IO166" s="197"/>
      <c r="IP166" s="204"/>
      <c r="IQ166" s="27"/>
      <c r="IR166" s="27"/>
      <c r="IS166" s="27"/>
      <c r="IT166" s="28"/>
    </row>
    <row r="167" spans="1:254" s="507" customFormat="1" ht="12.9" customHeight="1" x14ac:dyDescent="0.2">
      <c r="A167" s="505" t="str">
        <f>+'Past Quartets 1st - 3rd Place'!A177</f>
        <v>2008 P</v>
      </c>
      <c r="B167" s="503">
        <f>+'Past Quartets 1st - 3rd Place'!B177</f>
        <v>39</v>
      </c>
      <c r="C167" s="197" t="s">
        <v>1564</v>
      </c>
      <c r="D167" s="197" t="s">
        <v>1832</v>
      </c>
      <c r="E167" s="2" t="s">
        <v>1833</v>
      </c>
      <c r="F167" s="2" t="s">
        <v>1834</v>
      </c>
      <c r="G167" s="2" t="s">
        <v>1887</v>
      </c>
      <c r="H167" s="3" t="s">
        <v>1835</v>
      </c>
      <c r="I167" s="197" t="s">
        <v>230</v>
      </c>
      <c r="J167" s="197" t="s">
        <v>1973</v>
      </c>
      <c r="K167" s="2" t="s">
        <v>2961</v>
      </c>
      <c r="L167" s="2" t="s">
        <v>1786</v>
      </c>
      <c r="M167" s="2" t="s">
        <v>2962</v>
      </c>
      <c r="N167" s="3" t="s">
        <v>1788</v>
      </c>
      <c r="O167" s="504" t="s">
        <v>1576</v>
      </c>
      <c r="P167" s="261" t="s">
        <v>317</v>
      </c>
      <c r="Q167" s="27" t="s">
        <v>2963</v>
      </c>
      <c r="R167" s="27" t="s">
        <v>2964</v>
      </c>
      <c r="S167" s="27" t="s">
        <v>1308</v>
      </c>
      <c r="T167" s="28" t="s">
        <v>4054</v>
      </c>
      <c r="U167" s="245" t="s">
        <v>3879</v>
      </c>
      <c r="V167" s="245" t="s">
        <v>3580</v>
      </c>
      <c r="W167" s="2" t="s">
        <v>3880</v>
      </c>
      <c r="X167" s="2" t="s">
        <v>2265</v>
      </c>
      <c r="Y167" s="2" t="s">
        <v>3881</v>
      </c>
      <c r="Z167" s="3" t="s">
        <v>3882</v>
      </c>
      <c r="AA167" s="197" t="s">
        <v>3582</v>
      </c>
      <c r="AB167" s="197" t="s">
        <v>3357</v>
      </c>
      <c r="AC167" s="7" t="s">
        <v>735</v>
      </c>
      <c r="AD167" s="2" t="s">
        <v>3552</v>
      </c>
      <c r="AE167" s="2" t="s">
        <v>2308</v>
      </c>
      <c r="AF167" s="3" t="s">
        <v>3555</v>
      </c>
      <c r="AG167" s="504" t="s">
        <v>1554</v>
      </c>
      <c r="AH167" s="245" t="s">
        <v>414</v>
      </c>
      <c r="AI167" s="2" t="s">
        <v>415</v>
      </c>
      <c r="AJ167" s="2" t="s">
        <v>416</v>
      </c>
      <c r="AK167" s="2" t="s">
        <v>417</v>
      </c>
      <c r="AL167" s="3" t="s">
        <v>418</v>
      </c>
      <c r="AM167" s="197" t="s">
        <v>349</v>
      </c>
      <c r="AN167" s="197" t="s">
        <v>517</v>
      </c>
      <c r="AO167" s="2" t="s">
        <v>350</v>
      </c>
      <c r="AP167" s="2" t="s">
        <v>351</v>
      </c>
      <c r="AQ167" s="2" t="s">
        <v>352</v>
      </c>
      <c r="AR167" s="3" t="s">
        <v>483</v>
      </c>
      <c r="AS167" s="197" t="s">
        <v>1577</v>
      </c>
      <c r="AT167" s="197" t="s">
        <v>2969</v>
      </c>
      <c r="AU167" s="2" t="s">
        <v>3613</v>
      </c>
      <c r="AV167" s="2" t="s">
        <v>2265</v>
      </c>
      <c r="AW167" s="2" t="s">
        <v>3881</v>
      </c>
      <c r="AX167" s="3" t="s">
        <v>2970</v>
      </c>
      <c r="AY167" s="504" t="s">
        <v>1578</v>
      </c>
      <c r="AZ167" s="261" t="s">
        <v>2971</v>
      </c>
      <c r="BA167" s="27" t="s">
        <v>3350</v>
      </c>
      <c r="BB167" s="27" t="s">
        <v>1639</v>
      </c>
      <c r="BC167" s="27" t="s">
        <v>3271</v>
      </c>
      <c r="BD167" s="28" t="s">
        <v>2972</v>
      </c>
      <c r="BE167" s="197" t="s">
        <v>2676</v>
      </c>
      <c r="BF167" s="197" t="s">
        <v>579</v>
      </c>
      <c r="BG167" s="7" t="s">
        <v>484</v>
      </c>
      <c r="BH167" s="2" t="s">
        <v>1831</v>
      </c>
      <c r="BI167" s="2" t="s">
        <v>485</v>
      </c>
      <c r="BJ167" s="3" t="s">
        <v>486</v>
      </c>
      <c r="BK167" s="197" t="s">
        <v>1583</v>
      </c>
      <c r="BL167" s="197" t="s">
        <v>3952</v>
      </c>
      <c r="BM167" s="2" t="s">
        <v>3953</v>
      </c>
      <c r="BN167" s="2" t="s">
        <v>2410</v>
      </c>
      <c r="BO167" s="2" t="s">
        <v>3368</v>
      </c>
      <c r="BP167" s="3" t="s">
        <v>3954</v>
      </c>
      <c r="BQ167" s="245" t="s">
        <v>3338</v>
      </c>
      <c r="BR167" s="245" t="s">
        <v>3090</v>
      </c>
      <c r="BS167" s="2" t="s">
        <v>3091</v>
      </c>
      <c r="BT167" s="2" t="s">
        <v>3252</v>
      </c>
      <c r="BU167" s="2" t="s">
        <v>3092</v>
      </c>
      <c r="BV167" s="3" t="s">
        <v>3093</v>
      </c>
      <c r="BW167" s="197" t="s">
        <v>1568</v>
      </c>
      <c r="BX167" s="261" t="s">
        <v>2668</v>
      </c>
      <c r="BY167" s="27" t="s">
        <v>2965</v>
      </c>
      <c r="BZ167" s="27" t="s">
        <v>2966</v>
      </c>
      <c r="CA167" s="27" t="s">
        <v>2967</v>
      </c>
      <c r="CB167" s="28" t="s">
        <v>3368</v>
      </c>
      <c r="CC167" s="197" t="s">
        <v>1566</v>
      </c>
      <c r="CD167" s="197" t="s">
        <v>3292</v>
      </c>
      <c r="CE167" s="7" t="s">
        <v>3965</v>
      </c>
      <c r="CF167" s="2" t="s">
        <v>3966</v>
      </c>
      <c r="CG167" s="2" t="s">
        <v>3967</v>
      </c>
      <c r="CH167" s="3" t="s">
        <v>178</v>
      </c>
      <c r="CI167" s="197" t="s">
        <v>2525</v>
      </c>
      <c r="CJ167" s="197" t="s">
        <v>2526</v>
      </c>
      <c r="CK167" s="2" t="s">
        <v>3972</v>
      </c>
      <c r="CL167" s="2" t="s">
        <v>2528</v>
      </c>
      <c r="CM167" s="2" t="s">
        <v>2530</v>
      </c>
      <c r="CN167" s="3" t="s">
        <v>3911</v>
      </c>
      <c r="CO167" s="504" t="s">
        <v>2095</v>
      </c>
      <c r="CP167" s="261" t="s">
        <v>3978</v>
      </c>
      <c r="CQ167" s="27" t="s">
        <v>2265</v>
      </c>
      <c r="CR167" s="27" t="s">
        <v>3979</v>
      </c>
      <c r="CS167" s="27" t="s">
        <v>3980</v>
      </c>
      <c r="CT167" s="28" t="s">
        <v>2141</v>
      </c>
      <c r="CU167" s="504" t="s">
        <v>2244</v>
      </c>
      <c r="CV167" s="261" t="s">
        <v>2662</v>
      </c>
      <c r="CW167" s="27" t="s">
        <v>2941</v>
      </c>
      <c r="CX167" s="27" t="s">
        <v>2942</v>
      </c>
      <c r="CY167" s="27" t="s">
        <v>3988</v>
      </c>
      <c r="CZ167" s="28" t="s">
        <v>2944</v>
      </c>
      <c r="DA167" s="504" t="s">
        <v>1573</v>
      </c>
      <c r="DB167" s="197" t="s">
        <v>817</v>
      </c>
      <c r="DC167" s="2" t="s">
        <v>505</v>
      </c>
      <c r="DD167" s="2" t="s">
        <v>3971</v>
      </c>
      <c r="DE167" s="2" t="s">
        <v>1281</v>
      </c>
      <c r="DF167" s="3" t="s">
        <v>1283</v>
      </c>
      <c r="DG167" s="504" t="s">
        <v>2333</v>
      </c>
      <c r="DH167" s="197" t="s">
        <v>148</v>
      </c>
      <c r="DI167" s="7" t="s">
        <v>2334</v>
      </c>
      <c r="DJ167" s="2" t="s">
        <v>2335</v>
      </c>
      <c r="DK167" s="2" t="s">
        <v>2336</v>
      </c>
      <c r="DL167" s="3" t="s">
        <v>2337</v>
      </c>
      <c r="DM167" s="504" t="s">
        <v>629</v>
      </c>
      <c r="DN167" s="197" t="s">
        <v>2945</v>
      </c>
      <c r="DO167" s="7" t="s">
        <v>3687</v>
      </c>
      <c r="DP167" s="2" t="s">
        <v>2946</v>
      </c>
      <c r="DQ167" s="2" t="s">
        <v>2947</v>
      </c>
      <c r="DR167" s="3" t="s">
        <v>642</v>
      </c>
      <c r="DS167" s="504" t="s">
        <v>1878</v>
      </c>
      <c r="DT167" s="204" t="s">
        <v>3973</v>
      </c>
      <c r="DU167" s="27" t="s">
        <v>3974</v>
      </c>
      <c r="DV167" s="27" t="s">
        <v>1509</v>
      </c>
      <c r="DW167" s="27" t="s">
        <v>3976</v>
      </c>
      <c r="DX167" s="28" t="s">
        <v>3977</v>
      </c>
      <c r="DY167" s="504" t="s">
        <v>1574</v>
      </c>
      <c r="DZ167" s="261" t="s">
        <v>2639</v>
      </c>
      <c r="EA167" s="27" t="s">
        <v>3000</v>
      </c>
      <c r="EB167" s="27" t="s">
        <v>3001</v>
      </c>
      <c r="EC167" s="27" t="s">
        <v>3002</v>
      </c>
      <c r="ED167" s="28" t="s">
        <v>3003</v>
      </c>
      <c r="EE167" s="504" t="s">
        <v>1794</v>
      </c>
      <c r="EF167" s="261" t="s">
        <v>2413</v>
      </c>
      <c r="EG167" s="27" t="s">
        <v>3993</v>
      </c>
      <c r="EH167" s="27" t="s">
        <v>2415</v>
      </c>
      <c r="EI167" s="27" t="s">
        <v>2416</v>
      </c>
      <c r="EJ167" s="28" t="s">
        <v>432</v>
      </c>
      <c r="EK167" s="504" t="s">
        <v>2338</v>
      </c>
      <c r="EL167" s="197" t="s">
        <v>4079</v>
      </c>
      <c r="EM167" s="7" t="s">
        <v>3870</v>
      </c>
      <c r="EN167" s="2" t="s">
        <v>3871</v>
      </c>
      <c r="EO167" s="2" t="s">
        <v>3872</v>
      </c>
      <c r="EP167" s="3" t="s">
        <v>3514</v>
      </c>
      <c r="EQ167" s="504" t="s">
        <v>1579</v>
      </c>
      <c r="ER167" s="197" t="s">
        <v>2668</v>
      </c>
      <c r="ES167" s="7" t="s">
        <v>3874</v>
      </c>
      <c r="ET167" s="2" t="s">
        <v>3875</v>
      </c>
      <c r="EU167" s="2" t="s">
        <v>3876</v>
      </c>
      <c r="EV167" s="3" t="s">
        <v>3877</v>
      </c>
      <c r="EW167" s="504" t="s">
        <v>1575</v>
      </c>
      <c r="EX167" s="261" t="s">
        <v>861</v>
      </c>
      <c r="EY167" s="27" t="s">
        <v>1423</v>
      </c>
      <c r="EZ167" s="27" t="s">
        <v>1516</v>
      </c>
      <c r="FA167" s="27" t="s">
        <v>3967</v>
      </c>
      <c r="FB167" s="28" t="s">
        <v>3431</v>
      </c>
      <c r="FC167" s="504" t="s">
        <v>1580</v>
      </c>
      <c r="FD167" s="261" t="s">
        <v>1501</v>
      </c>
      <c r="FE167" s="27" t="s">
        <v>3909</v>
      </c>
      <c r="FF167" s="27" t="s">
        <v>3251</v>
      </c>
      <c r="FG167" s="27" t="s">
        <v>492</v>
      </c>
      <c r="FH167" s="28" t="s">
        <v>1502</v>
      </c>
      <c r="FI167" s="504" t="s">
        <v>1581</v>
      </c>
      <c r="FJ167" s="261" t="s">
        <v>1500</v>
      </c>
      <c r="FK167" s="27" t="s">
        <v>2998</v>
      </c>
      <c r="FL167" s="27" t="s">
        <v>3273</v>
      </c>
      <c r="FM167" s="27" t="s">
        <v>2940</v>
      </c>
      <c r="FN167" s="28" t="s">
        <v>3818</v>
      </c>
      <c r="FO167" s="504" t="s">
        <v>3589</v>
      </c>
      <c r="FP167" s="197" t="s">
        <v>3612</v>
      </c>
      <c r="FQ167" s="2" t="s">
        <v>3613</v>
      </c>
      <c r="FR167" s="2" t="s">
        <v>182</v>
      </c>
      <c r="FS167" s="1" t="s">
        <v>685</v>
      </c>
      <c r="FT167" s="3" t="s">
        <v>183</v>
      </c>
      <c r="FU167" s="504" t="s">
        <v>1569</v>
      </c>
      <c r="FV167" s="204" t="s">
        <v>2997</v>
      </c>
      <c r="FW167" s="27" t="s">
        <v>2998</v>
      </c>
      <c r="FX167" s="27" t="s">
        <v>182</v>
      </c>
      <c r="FY167" s="27" t="s">
        <v>2999</v>
      </c>
      <c r="FZ167" s="3" t="s">
        <v>3818</v>
      </c>
      <c r="GA167" s="504" t="s">
        <v>3452</v>
      </c>
      <c r="GB167" s="261" t="s">
        <v>3420</v>
      </c>
      <c r="GC167" s="27" t="s">
        <v>2600</v>
      </c>
      <c r="GD167" s="27" t="s">
        <v>2601</v>
      </c>
      <c r="GE167" s="27" t="s">
        <v>2602</v>
      </c>
      <c r="GF167" s="28" t="s">
        <v>2603</v>
      </c>
      <c r="GG167" s="504" t="s">
        <v>2245</v>
      </c>
      <c r="GH167" s="261" t="s">
        <v>2691</v>
      </c>
      <c r="GI167" s="27" t="s">
        <v>2960</v>
      </c>
      <c r="GJ167" s="27" t="s">
        <v>2345</v>
      </c>
      <c r="GK167" s="27" t="s">
        <v>2346</v>
      </c>
      <c r="GL167" s="28" t="s">
        <v>2347</v>
      </c>
      <c r="GM167" s="197" t="s">
        <v>1582</v>
      </c>
      <c r="GN167" s="261" t="s">
        <v>1973</v>
      </c>
      <c r="GO167" s="27" t="s">
        <v>468</v>
      </c>
      <c r="GP167" s="27" t="s">
        <v>469</v>
      </c>
      <c r="GQ167" s="27" t="s">
        <v>2604</v>
      </c>
      <c r="GR167" s="28" t="s">
        <v>2939</v>
      </c>
      <c r="GS167" s="504"/>
      <c r="GT167" s="205"/>
      <c r="GU167" s="29"/>
      <c r="GV167" s="27"/>
      <c r="GW167" s="29"/>
      <c r="GX167" s="189"/>
      <c r="GY167" s="504"/>
      <c r="GZ167" s="205"/>
      <c r="HA167" s="29"/>
      <c r="HB167" s="27"/>
      <c r="HC167" s="29"/>
      <c r="HD167" s="189"/>
      <c r="HE167" s="504"/>
      <c r="HF167" s="205"/>
      <c r="HG167" s="29"/>
      <c r="HH167" s="27"/>
      <c r="HI167" s="29"/>
      <c r="HJ167" s="189"/>
      <c r="HK167" s="504"/>
      <c r="HL167" s="205"/>
      <c r="HM167" s="29"/>
      <c r="HN167" s="27"/>
      <c r="HO167" s="29"/>
      <c r="HP167" s="189"/>
      <c r="HQ167" s="504"/>
      <c r="HR167" s="205"/>
      <c r="HS167" s="29"/>
      <c r="HT167" s="27"/>
      <c r="HU167" s="29"/>
      <c r="HV167" s="189"/>
      <c r="HW167" s="504"/>
      <c r="HX167" s="205"/>
      <c r="HY167" s="29"/>
      <c r="HZ167" s="27"/>
      <c r="IA167" s="29"/>
      <c r="IB167" s="189"/>
      <c r="IC167" s="504"/>
      <c r="ID167" s="205"/>
      <c r="IE167" s="29"/>
      <c r="IF167" s="27"/>
      <c r="IG167" s="29"/>
      <c r="IH167" s="189"/>
      <c r="II167" s="504"/>
      <c r="IJ167" s="205"/>
      <c r="IK167" s="29"/>
      <c r="IL167" s="27"/>
      <c r="IM167" s="29"/>
      <c r="IN167" s="189"/>
      <c r="IO167" s="504"/>
      <c r="IP167" s="205"/>
      <c r="IQ167" s="29"/>
      <c r="IR167" s="27"/>
      <c r="IS167" s="29"/>
      <c r="IT167" s="189"/>
    </row>
    <row r="168" spans="1:254" s="507" customFormat="1" ht="12.9" customHeight="1" x14ac:dyDescent="0.2">
      <c r="A168" s="505" t="str">
        <f>+'Past Quartets 1st - 3rd Place'!A178</f>
        <v>2009 P</v>
      </c>
      <c r="B168" s="503">
        <f>+'Past Quartets 1st - 3rd Place'!B178</f>
        <v>42</v>
      </c>
      <c r="C168" s="197" t="s">
        <v>1564</v>
      </c>
      <c r="D168" s="197" t="s">
        <v>1832</v>
      </c>
      <c r="E168" s="2" t="s">
        <v>1833</v>
      </c>
      <c r="F168" s="2" t="s">
        <v>1834</v>
      </c>
      <c r="G168" s="2" t="s">
        <v>1887</v>
      </c>
      <c r="H168" s="3" t="s">
        <v>1835</v>
      </c>
      <c r="I168" s="197" t="s">
        <v>3343</v>
      </c>
      <c r="J168" s="197" t="s">
        <v>1328</v>
      </c>
      <c r="K168" s="2" t="s">
        <v>3517</v>
      </c>
      <c r="L168" s="2" t="s">
        <v>416</v>
      </c>
      <c r="M168" s="2" t="s">
        <v>417</v>
      </c>
      <c r="N168" s="3" t="s">
        <v>418</v>
      </c>
      <c r="O168" s="504" t="s">
        <v>1584</v>
      </c>
      <c r="P168" s="261" t="s">
        <v>2668</v>
      </c>
      <c r="Q168" s="27" t="s">
        <v>2965</v>
      </c>
      <c r="R168" s="27" t="s">
        <v>2966</v>
      </c>
      <c r="S168" s="27" t="s">
        <v>2967</v>
      </c>
      <c r="T168" s="28" t="s">
        <v>3368</v>
      </c>
      <c r="U168" s="197" t="s">
        <v>1576</v>
      </c>
      <c r="V168" s="197" t="s">
        <v>317</v>
      </c>
      <c r="W168" s="2" t="s">
        <v>2963</v>
      </c>
      <c r="X168" s="2" t="s">
        <v>2964</v>
      </c>
      <c r="Y168" s="2" t="s">
        <v>1308</v>
      </c>
      <c r="Z168" s="3" t="s">
        <v>4054</v>
      </c>
      <c r="AA168" s="197" t="s">
        <v>3583</v>
      </c>
      <c r="AB168" s="205" t="s">
        <v>2733</v>
      </c>
      <c r="AC168" s="29" t="s">
        <v>3604</v>
      </c>
      <c r="AD168" s="27" t="s">
        <v>2332</v>
      </c>
      <c r="AE168" s="29" t="s">
        <v>3606</v>
      </c>
      <c r="AF168" s="189" t="s">
        <v>3607</v>
      </c>
      <c r="AG168" s="504" t="s">
        <v>1585</v>
      </c>
      <c r="AH168" s="261" t="s">
        <v>4079</v>
      </c>
      <c r="AI168" s="27" t="s">
        <v>1969</v>
      </c>
      <c r="AJ168" s="27" t="s">
        <v>2968</v>
      </c>
      <c r="AK168" s="27" t="s">
        <v>168</v>
      </c>
      <c r="AL168" s="28" t="s">
        <v>3555</v>
      </c>
      <c r="AM168" s="197" t="s">
        <v>1793</v>
      </c>
      <c r="AN168" s="197" t="s">
        <v>3287</v>
      </c>
      <c r="AO168" s="2" t="s">
        <v>2419</v>
      </c>
      <c r="AP168" s="2" t="s">
        <v>446</v>
      </c>
      <c r="AQ168" s="2" t="s">
        <v>4053</v>
      </c>
      <c r="AR168" s="3" t="s">
        <v>4243</v>
      </c>
      <c r="AS168" s="245" t="s">
        <v>3338</v>
      </c>
      <c r="AT168" s="245" t="s">
        <v>3090</v>
      </c>
      <c r="AU168" s="2" t="s">
        <v>3091</v>
      </c>
      <c r="AV168" s="2" t="s">
        <v>3252</v>
      </c>
      <c r="AW168" s="2" t="s">
        <v>3092</v>
      </c>
      <c r="AX168" s="2" t="s">
        <v>3093</v>
      </c>
      <c r="AY168" s="197" t="s">
        <v>1586</v>
      </c>
      <c r="AZ168" s="261" t="s">
        <v>3950</v>
      </c>
      <c r="BA168" s="27" t="s">
        <v>3951</v>
      </c>
      <c r="BB168" s="27" t="s">
        <v>1786</v>
      </c>
      <c r="BC168" s="27" t="s">
        <v>1627</v>
      </c>
      <c r="BD168" s="28" t="s">
        <v>3342</v>
      </c>
      <c r="BE168" s="197" t="s">
        <v>1578</v>
      </c>
      <c r="BF168" s="261" t="s">
        <v>2971</v>
      </c>
      <c r="BG168" s="27" t="s">
        <v>3350</v>
      </c>
      <c r="BH168" s="27" t="s">
        <v>1639</v>
      </c>
      <c r="BI168" s="27" t="s">
        <v>3271</v>
      </c>
      <c r="BJ168" s="28" t="s">
        <v>2972</v>
      </c>
      <c r="BK168" s="197" t="s">
        <v>1587</v>
      </c>
      <c r="BL168" s="197" t="s">
        <v>517</v>
      </c>
      <c r="BM168" s="2" t="s">
        <v>698</v>
      </c>
      <c r="BN168" s="2" t="s">
        <v>3955</v>
      </c>
      <c r="BO168" s="2" t="s">
        <v>3956</v>
      </c>
      <c r="BP168" s="3" t="s">
        <v>3957</v>
      </c>
      <c r="BQ168" s="504" t="s">
        <v>349</v>
      </c>
      <c r="BR168" s="197" t="s">
        <v>517</v>
      </c>
      <c r="BS168" s="2" t="s">
        <v>350</v>
      </c>
      <c r="BT168" s="2" t="s">
        <v>351</v>
      </c>
      <c r="BU168" s="2" t="s">
        <v>352</v>
      </c>
      <c r="BV168" s="3" t="s">
        <v>483</v>
      </c>
      <c r="BW168" s="245" t="s">
        <v>3879</v>
      </c>
      <c r="BX168" s="245" t="s">
        <v>3580</v>
      </c>
      <c r="BY168" s="2" t="s">
        <v>3880</v>
      </c>
      <c r="BZ168" s="2" t="s">
        <v>2265</v>
      </c>
      <c r="CA168" s="2" t="s">
        <v>3881</v>
      </c>
      <c r="CB168" s="3" t="s">
        <v>3882</v>
      </c>
      <c r="CC168" s="504" t="s">
        <v>1588</v>
      </c>
      <c r="CD168" s="197" t="s">
        <v>2733</v>
      </c>
      <c r="CE168" s="2" t="s">
        <v>2414</v>
      </c>
      <c r="CF168" s="2" t="s">
        <v>3968</v>
      </c>
      <c r="CG168" s="2" t="s">
        <v>3969</v>
      </c>
      <c r="CH168" s="3" t="s">
        <v>3970</v>
      </c>
      <c r="CI168" s="197" t="s">
        <v>1589</v>
      </c>
      <c r="CJ168" s="197" t="s">
        <v>1503</v>
      </c>
      <c r="CK168" s="2" t="s">
        <v>1504</v>
      </c>
      <c r="CL168" s="2" t="s">
        <v>3557</v>
      </c>
      <c r="CM168" s="2" t="s">
        <v>3083</v>
      </c>
      <c r="CN168" s="3" t="s">
        <v>1505</v>
      </c>
      <c r="CO168" s="504" t="s">
        <v>1590</v>
      </c>
      <c r="CP168" s="261" t="s">
        <v>3580</v>
      </c>
      <c r="CQ168" s="27" t="s">
        <v>3981</v>
      </c>
      <c r="CR168" s="27" t="s">
        <v>3982</v>
      </c>
      <c r="CS168" s="27" t="s">
        <v>3983</v>
      </c>
      <c r="CT168" s="28" t="s">
        <v>3984</v>
      </c>
      <c r="CU168" s="504" t="s">
        <v>1591</v>
      </c>
      <c r="CV168" s="261" t="s">
        <v>3580</v>
      </c>
      <c r="CW168" s="27" t="s">
        <v>3989</v>
      </c>
      <c r="CX168" s="27" t="s">
        <v>3990</v>
      </c>
      <c r="CY168" s="27" t="s">
        <v>3991</v>
      </c>
      <c r="CZ168" s="28" t="s">
        <v>3992</v>
      </c>
      <c r="DA168" s="504" t="s">
        <v>1527</v>
      </c>
      <c r="DB168" s="504" t="s">
        <v>1528</v>
      </c>
      <c r="DC168" s="2" t="s">
        <v>2417</v>
      </c>
      <c r="DD168" s="2" t="s">
        <v>2418</v>
      </c>
      <c r="DE168" s="2" t="s">
        <v>3543</v>
      </c>
      <c r="DF168" s="3" t="s">
        <v>2457</v>
      </c>
      <c r="DG168" s="504" t="s">
        <v>1794</v>
      </c>
      <c r="DH168" s="261" t="s">
        <v>2413</v>
      </c>
      <c r="DI168" s="27" t="s">
        <v>3993</v>
      </c>
      <c r="DJ168" s="27" t="s">
        <v>2415</v>
      </c>
      <c r="DK168" s="27" t="s">
        <v>2416</v>
      </c>
      <c r="DL168" s="28" t="s">
        <v>432</v>
      </c>
      <c r="DM168" s="504" t="s">
        <v>1582</v>
      </c>
      <c r="DN168" s="261" t="s">
        <v>1973</v>
      </c>
      <c r="DO168" s="27" t="s">
        <v>468</v>
      </c>
      <c r="DP168" s="27" t="s">
        <v>469</v>
      </c>
      <c r="DQ168" s="27" t="s">
        <v>470</v>
      </c>
      <c r="DR168" s="28" t="s">
        <v>2939</v>
      </c>
      <c r="DS168" s="504" t="s">
        <v>1795</v>
      </c>
      <c r="DT168" s="261" t="s">
        <v>471</v>
      </c>
      <c r="DU168" s="27" t="s">
        <v>3909</v>
      </c>
      <c r="DV168" s="27" t="s">
        <v>472</v>
      </c>
      <c r="DW168" s="27" t="s">
        <v>3910</v>
      </c>
      <c r="DX168" s="28" t="s">
        <v>2996</v>
      </c>
      <c r="DY168" s="504" t="s">
        <v>1592</v>
      </c>
      <c r="DZ168" s="197" t="s">
        <v>3580</v>
      </c>
      <c r="EA168" s="2" t="s">
        <v>3979</v>
      </c>
      <c r="EB168" s="2" t="s">
        <v>2139</v>
      </c>
      <c r="EC168" s="2" t="s">
        <v>3967</v>
      </c>
      <c r="ED168" s="3" t="s">
        <v>1994</v>
      </c>
      <c r="EE168" s="504" t="s">
        <v>2525</v>
      </c>
      <c r="EF168" s="261" t="s">
        <v>2526</v>
      </c>
      <c r="EG168" s="27" t="s">
        <v>2527</v>
      </c>
      <c r="EH168" s="27" t="s">
        <v>2528</v>
      </c>
      <c r="EI168" s="27" t="s">
        <v>2530</v>
      </c>
      <c r="EJ168" s="28" t="s">
        <v>3911</v>
      </c>
      <c r="EK168" s="504" t="s">
        <v>1878</v>
      </c>
      <c r="EL168" s="204" t="s">
        <v>3973</v>
      </c>
      <c r="EM168" s="27" t="s">
        <v>3974</v>
      </c>
      <c r="EN168" s="27" t="s">
        <v>1509</v>
      </c>
      <c r="EO168" s="27" t="s">
        <v>3976</v>
      </c>
      <c r="EP168" s="28" t="s">
        <v>3977</v>
      </c>
      <c r="EQ168" s="504" t="s">
        <v>1593</v>
      </c>
      <c r="ER168" s="261" t="s">
        <v>2741</v>
      </c>
      <c r="ES168" s="27" t="s">
        <v>1510</v>
      </c>
      <c r="ET168" s="27" t="s">
        <v>1511</v>
      </c>
      <c r="EU168" s="27" t="s">
        <v>1512</v>
      </c>
      <c r="EV168" s="28" t="s">
        <v>1513</v>
      </c>
      <c r="EW168" s="504" t="s">
        <v>1567</v>
      </c>
      <c r="EX168" s="197" t="s">
        <v>3580</v>
      </c>
      <c r="EY168" s="7" t="s">
        <v>3880</v>
      </c>
      <c r="EZ168" s="2" t="s">
        <v>3985</v>
      </c>
      <c r="FA168" s="2" t="s">
        <v>3986</v>
      </c>
      <c r="FB168" s="3" t="s">
        <v>3987</v>
      </c>
      <c r="FC168" s="504" t="s">
        <v>1594</v>
      </c>
      <c r="FD168" s="261" t="s">
        <v>4041</v>
      </c>
      <c r="FE168" s="27" t="s">
        <v>2497</v>
      </c>
      <c r="FF168" s="27" t="s">
        <v>2498</v>
      </c>
      <c r="FG168" s="27" t="s">
        <v>2499</v>
      </c>
      <c r="FH168" s="28" t="s">
        <v>2500</v>
      </c>
      <c r="FI168" s="504" t="s">
        <v>1595</v>
      </c>
      <c r="FJ168" s="197" t="s">
        <v>2804</v>
      </c>
      <c r="FK168" s="7" t="s">
        <v>2514</v>
      </c>
      <c r="FL168" s="2" t="s">
        <v>2516</v>
      </c>
      <c r="FM168" s="2" t="s">
        <v>2517</v>
      </c>
      <c r="FN168" s="3" t="s">
        <v>2515</v>
      </c>
      <c r="FO168" s="504" t="s">
        <v>1596</v>
      </c>
      <c r="FP168" s="261" t="s">
        <v>2518</v>
      </c>
      <c r="FQ168" s="27" t="s">
        <v>2519</v>
      </c>
      <c r="FR168" s="27" t="s">
        <v>2793</v>
      </c>
      <c r="FS168" s="27" t="s">
        <v>3092</v>
      </c>
      <c r="FT168" s="28" t="s">
        <v>2520</v>
      </c>
      <c r="FU168" s="504" t="s">
        <v>1597</v>
      </c>
      <c r="FV168" s="261" t="s">
        <v>1860</v>
      </c>
      <c r="FW168" s="27" t="s">
        <v>2510</v>
      </c>
      <c r="FX168" s="27" t="s">
        <v>2511</v>
      </c>
      <c r="FY168" s="27" t="s">
        <v>2512</v>
      </c>
      <c r="FZ168" s="28" t="s">
        <v>2513</v>
      </c>
      <c r="GA168" s="504" t="s">
        <v>1598</v>
      </c>
      <c r="GB168" s="261" t="s">
        <v>2595</v>
      </c>
      <c r="GC168" s="27" t="s">
        <v>2596</v>
      </c>
      <c r="GD168" s="27" t="s">
        <v>2597</v>
      </c>
      <c r="GE168" s="27" t="s">
        <v>2598</v>
      </c>
      <c r="GF168" s="28" t="s">
        <v>2599</v>
      </c>
      <c r="GG168" s="504" t="s">
        <v>1559</v>
      </c>
      <c r="GH168" s="261" t="s">
        <v>3961</v>
      </c>
      <c r="GI168" s="27" t="s">
        <v>2658</v>
      </c>
      <c r="GJ168" s="27" t="s">
        <v>3962</v>
      </c>
      <c r="GK168" s="27" t="s">
        <v>3963</v>
      </c>
      <c r="GL168" s="28" t="s">
        <v>3964</v>
      </c>
      <c r="GM168" s="197" t="s">
        <v>1599</v>
      </c>
      <c r="GN168" s="261" t="s">
        <v>4177</v>
      </c>
      <c r="GO168" s="27" t="s">
        <v>2605</v>
      </c>
      <c r="GP168" s="27" t="s">
        <v>2606</v>
      </c>
      <c r="GQ168" s="27" t="s">
        <v>2607</v>
      </c>
      <c r="GR168" s="28" t="s">
        <v>2608</v>
      </c>
      <c r="GS168" s="504" t="s">
        <v>1600</v>
      </c>
      <c r="GT168" s="261" t="s">
        <v>2997</v>
      </c>
      <c r="GU168" s="27" t="s">
        <v>3613</v>
      </c>
      <c r="GV168" s="27" t="s">
        <v>2501</v>
      </c>
      <c r="GW168" s="27" t="s">
        <v>2502</v>
      </c>
      <c r="GX168" s="28" t="s">
        <v>2503</v>
      </c>
      <c r="GY168" s="504" t="s">
        <v>724</v>
      </c>
      <c r="GZ168" s="261" t="s">
        <v>593</v>
      </c>
      <c r="HA168" s="27" t="s">
        <v>2504</v>
      </c>
      <c r="HB168" s="27" t="s">
        <v>2505</v>
      </c>
      <c r="HC168" s="27" t="s">
        <v>1295</v>
      </c>
      <c r="HD168" s="28" t="s">
        <v>1296</v>
      </c>
      <c r="HE168" s="504" t="s">
        <v>1601</v>
      </c>
      <c r="HF168" s="261"/>
      <c r="HG168" s="27" t="s">
        <v>1079</v>
      </c>
      <c r="HH168" s="27" t="s">
        <v>1077</v>
      </c>
      <c r="HI168" s="27" t="s">
        <v>1078</v>
      </c>
      <c r="HJ168" s="28" t="s">
        <v>1080</v>
      </c>
      <c r="HK168" s="504"/>
      <c r="HL168" s="261"/>
      <c r="HM168" s="27"/>
      <c r="HN168" s="27"/>
      <c r="HO168" s="27"/>
      <c r="HP168" s="28"/>
      <c r="HQ168" s="504"/>
      <c r="HR168" s="261"/>
      <c r="HS168" s="27"/>
      <c r="HT168" s="27"/>
      <c r="HU168" s="27"/>
      <c r="HV168" s="28"/>
      <c r="HW168" s="504"/>
      <c r="HX168" s="261"/>
      <c r="HY168" s="27"/>
      <c r="HZ168" s="27"/>
      <c r="IA168" s="27"/>
      <c r="IB168" s="28"/>
      <c r="IC168" s="504"/>
      <c r="ID168" s="261"/>
      <c r="IE168" s="27"/>
      <c r="IF168" s="27"/>
      <c r="IG168" s="27"/>
      <c r="IH168" s="28"/>
      <c r="II168" s="504"/>
      <c r="IJ168" s="261"/>
      <c r="IK168" s="27"/>
      <c r="IL168" s="27"/>
      <c r="IM168" s="27"/>
      <c r="IN168" s="28"/>
      <c r="IO168" s="504"/>
      <c r="IP168" s="261"/>
      <c r="IQ168" s="27"/>
      <c r="IR168" s="27"/>
      <c r="IS168" s="27"/>
      <c r="IT168" s="28"/>
    </row>
    <row r="169" spans="1:254" s="507" customFormat="1" ht="12.9" customHeight="1" x14ac:dyDescent="0.2">
      <c r="A169" s="505" t="str">
        <f>+'Past Quartets 1st - 3rd Place'!A179</f>
        <v>2010 P</v>
      </c>
      <c r="B169" s="503">
        <f>+'Past Quartets 1st - 3rd Place'!B179</f>
        <v>41</v>
      </c>
      <c r="C169" s="197" t="s">
        <v>1791</v>
      </c>
      <c r="D169" s="197" t="s">
        <v>3580</v>
      </c>
      <c r="E169" s="2" t="s">
        <v>2265</v>
      </c>
      <c r="F169" s="2" t="s">
        <v>2725</v>
      </c>
      <c r="G169" s="2" t="s">
        <v>1659</v>
      </c>
      <c r="H169" s="2" t="s">
        <v>3690</v>
      </c>
      <c r="I169" s="245" t="s">
        <v>3338</v>
      </c>
      <c r="J169" s="245" t="s">
        <v>3090</v>
      </c>
      <c r="K169" s="2" t="s">
        <v>3091</v>
      </c>
      <c r="L169" s="2" t="s">
        <v>3078</v>
      </c>
      <c r="M169" s="2" t="s">
        <v>3092</v>
      </c>
      <c r="N169" s="2" t="s">
        <v>3093</v>
      </c>
      <c r="O169" s="197" t="s">
        <v>1602</v>
      </c>
      <c r="P169" s="197" t="s">
        <v>3250</v>
      </c>
      <c r="Q169" s="7" t="s">
        <v>3284</v>
      </c>
      <c r="R169" s="2" t="s">
        <v>3251</v>
      </c>
      <c r="S169" s="2" t="s">
        <v>2941</v>
      </c>
      <c r="T169" s="3" t="s">
        <v>3610</v>
      </c>
      <c r="U169" s="197" t="s">
        <v>3343</v>
      </c>
      <c r="V169" s="245" t="s">
        <v>1328</v>
      </c>
      <c r="W169" s="2" t="s">
        <v>3517</v>
      </c>
      <c r="X169" s="2" t="s">
        <v>1329</v>
      </c>
      <c r="Y169" s="2" t="s">
        <v>417</v>
      </c>
      <c r="Z169" s="2" t="s">
        <v>418</v>
      </c>
      <c r="AA169" s="197" t="s">
        <v>3583</v>
      </c>
      <c r="AB169" s="205" t="s">
        <v>2733</v>
      </c>
      <c r="AC169" s="29" t="s">
        <v>3604</v>
      </c>
      <c r="AD169" s="27" t="s">
        <v>2332</v>
      </c>
      <c r="AE169" s="29" t="s">
        <v>3606</v>
      </c>
      <c r="AF169" s="189" t="s">
        <v>3607</v>
      </c>
      <c r="AG169" s="197" t="s">
        <v>4011</v>
      </c>
      <c r="AH169" s="197" t="s">
        <v>517</v>
      </c>
      <c r="AI169" s="7" t="s">
        <v>2764</v>
      </c>
      <c r="AJ169" s="2" t="s">
        <v>2765</v>
      </c>
      <c r="AK169" s="2" t="s">
        <v>2766</v>
      </c>
      <c r="AL169" s="3" t="s">
        <v>2767</v>
      </c>
      <c r="AM169" s="197" t="s">
        <v>1603</v>
      </c>
      <c r="AN169" s="197" t="s">
        <v>3357</v>
      </c>
      <c r="AO169" s="2" t="s">
        <v>3360</v>
      </c>
      <c r="AP169" s="2" t="s">
        <v>1220</v>
      </c>
      <c r="AQ169" s="2" t="s">
        <v>3046</v>
      </c>
      <c r="AR169" s="2" t="s">
        <v>1222</v>
      </c>
      <c r="AS169" s="197" t="s">
        <v>1592</v>
      </c>
      <c r="AT169" s="197" t="s">
        <v>3580</v>
      </c>
      <c r="AU169" s="2" t="s">
        <v>3979</v>
      </c>
      <c r="AV169" s="2" t="s">
        <v>2139</v>
      </c>
      <c r="AW169" s="2" t="s">
        <v>3967</v>
      </c>
      <c r="AX169" s="3" t="s">
        <v>1994</v>
      </c>
      <c r="AY169" s="197" t="s">
        <v>1584</v>
      </c>
      <c r="AZ169" s="261" t="s">
        <v>2668</v>
      </c>
      <c r="BA169" s="27" t="s">
        <v>2965</v>
      </c>
      <c r="BB169" s="27" t="s">
        <v>2966</v>
      </c>
      <c r="BC169" s="27" t="s">
        <v>3367</v>
      </c>
      <c r="BD169" s="28" t="s">
        <v>3368</v>
      </c>
      <c r="BE169" s="197" t="s">
        <v>1564</v>
      </c>
      <c r="BF169" s="197" t="s">
        <v>1832</v>
      </c>
      <c r="BG169" s="2" t="s">
        <v>1833</v>
      </c>
      <c r="BH169" s="2" t="s">
        <v>1834</v>
      </c>
      <c r="BI169" s="2" t="s">
        <v>1887</v>
      </c>
      <c r="BJ169" s="3" t="s">
        <v>1835</v>
      </c>
      <c r="BK169" s="197" t="s">
        <v>1604</v>
      </c>
      <c r="BL169" s="197" t="s">
        <v>1248</v>
      </c>
      <c r="BM169" s="2" t="s">
        <v>2328</v>
      </c>
      <c r="BN169" s="2" t="s">
        <v>446</v>
      </c>
      <c r="BO169" s="2" t="s">
        <v>4053</v>
      </c>
      <c r="BP169" s="3" t="s">
        <v>1249</v>
      </c>
      <c r="BQ169" s="197" t="s">
        <v>1605</v>
      </c>
      <c r="BR169" s="197" t="s">
        <v>1250</v>
      </c>
      <c r="BS169" s="7" t="s">
        <v>1251</v>
      </c>
      <c r="BT169" s="2" t="s">
        <v>1252</v>
      </c>
      <c r="BU169" s="2" t="s">
        <v>1253</v>
      </c>
      <c r="BV169" s="3" t="s">
        <v>3041</v>
      </c>
      <c r="BW169" s="197" t="s">
        <v>2676</v>
      </c>
      <c r="BX169" s="197" t="s">
        <v>579</v>
      </c>
      <c r="BY169" s="7" t="s">
        <v>484</v>
      </c>
      <c r="BZ169" s="2" t="s">
        <v>1831</v>
      </c>
      <c r="CA169" s="2" t="s">
        <v>485</v>
      </c>
      <c r="CB169" s="3" t="s">
        <v>486</v>
      </c>
      <c r="CC169" s="197" t="s">
        <v>1573</v>
      </c>
      <c r="CD169" s="197" t="s">
        <v>817</v>
      </c>
      <c r="CE169" s="2" t="s">
        <v>505</v>
      </c>
      <c r="CF169" s="2" t="s">
        <v>3971</v>
      </c>
      <c r="CG169" s="2" t="s">
        <v>1281</v>
      </c>
      <c r="CH169" s="2" t="s">
        <v>1283</v>
      </c>
      <c r="CI169" s="197" t="s">
        <v>1563</v>
      </c>
      <c r="CJ169" s="197" t="s">
        <v>4041</v>
      </c>
      <c r="CK169" s="2" t="s">
        <v>2972</v>
      </c>
      <c r="CL169" s="2" t="s">
        <v>1408</v>
      </c>
      <c r="CM169" s="2" t="s">
        <v>3255</v>
      </c>
      <c r="CN169" s="3" t="s">
        <v>3256</v>
      </c>
      <c r="CO169" s="197" t="s">
        <v>1606</v>
      </c>
      <c r="CP169" s="197" t="s">
        <v>4079</v>
      </c>
      <c r="CQ169" s="7" t="s">
        <v>3870</v>
      </c>
      <c r="CR169" s="2" t="s">
        <v>1226</v>
      </c>
      <c r="CS169" s="2" t="s">
        <v>1227</v>
      </c>
      <c r="CT169" s="3" t="s">
        <v>1228</v>
      </c>
      <c r="CU169" s="197" t="s">
        <v>1607</v>
      </c>
      <c r="CV169" s="197" t="s">
        <v>1885</v>
      </c>
      <c r="CW169" s="7" t="s">
        <v>822</v>
      </c>
      <c r="CX169" s="2" t="s">
        <v>1827</v>
      </c>
      <c r="CY169" s="2" t="s">
        <v>1828</v>
      </c>
      <c r="CZ169" s="3" t="s">
        <v>1829</v>
      </c>
      <c r="DA169" s="197" t="s">
        <v>1567</v>
      </c>
      <c r="DB169" s="197" t="s">
        <v>3580</v>
      </c>
      <c r="DC169" s="7" t="s">
        <v>3880</v>
      </c>
      <c r="DD169" s="2" t="s">
        <v>3985</v>
      </c>
      <c r="DE169" s="2" t="s">
        <v>3986</v>
      </c>
      <c r="DF169" s="3" t="s">
        <v>3987</v>
      </c>
      <c r="DG169" s="197" t="s">
        <v>1608</v>
      </c>
      <c r="DH169" s="197" t="s">
        <v>517</v>
      </c>
      <c r="DI169" s="7" t="s">
        <v>819</v>
      </c>
      <c r="DJ169" s="2" t="s">
        <v>3047</v>
      </c>
      <c r="DK169" s="2" t="s">
        <v>3048</v>
      </c>
      <c r="DL169" s="3" t="s">
        <v>3049</v>
      </c>
      <c r="DM169" s="197" t="s">
        <v>621</v>
      </c>
      <c r="DN169" s="197" t="s">
        <v>1506</v>
      </c>
      <c r="DO169" s="7" t="s">
        <v>1507</v>
      </c>
      <c r="DP169" s="2" t="s">
        <v>1508</v>
      </c>
      <c r="DQ169" s="2" t="s">
        <v>431</v>
      </c>
      <c r="DR169" s="3" t="s">
        <v>432</v>
      </c>
      <c r="DS169" s="197" t="s">
        <v>1590</v>
      </c>
      <c r="DT169" s="197" t="s">
        <v>3580</v>
      </c>
      <c r="DU169" s="7" t="s">
        <v>3981</v>
      </c>
      <c r="DV169" s="2" t="s">
        <v>3982</v>
      </c>
      <c r="DW169" s="2" t="s">
        <v>3983</v>
      </c>
      <c r="DX169" s="3" t="s">
        <v>3984</v>
      </c>
      <c r="DY169" s="197" t="s">
        <v>1609</v>
      </c>
      <c r="DZ169" s="197" t="s">
        <v>2741</v>
      </c>
      <c r="EA169" s="7" t="s">
        <v>1510</v>
      </c>
      <c r="EB169" s="2" t="s">
        <v>3059</v>
      </c>
      <c r="EC169" s="2" t="s">
        <v>3060</v>
      </c>
      <c r="ED169" s="3" t="s">
        <v>3061</v>
      </c>
      <c r="EE169" s="197" t="s">
        <v>1610</v>
      </c>
      <c r="EF169" s="504" t="s">
        <v>487</v>
      </c>
      <c r="EG169" s="2" t="s">
        <v>488</v>
      </c>
      <c r="EH169" s="2" t="s">
        <v>2136</v>
      </c>
      <c r="EI169" s="2" t="s">
        <v>2462</v>
      </c>
      <c r="EJ169" s="3" t="s">
        <v>489</v>
      </c>
      <c r="EK169" s="197" t="s">
        <v>1795</v>
      </c>
      <c r="EL169" s="504" t="s">
        <v>490</v>
      </c>
      <c r="EM169" s="2" t="s">
        <v>3909</v>
      </c>
      <c r="EN169" s="2" t="s">
        <v>491</v>
      </c>
      <c r="EO169" s="2" t="s">
        <v>492</v>
      </c>
      <c r="EP169" s="3" t="s">
        <v>3701</v>
      </c>
      <c r="EQ169" s="197" t="s">
        <v>1582</v>
      </c>
      <c r="ER169" s="197" t="s">
        <v>1514</v>
      </c>
      <c r="ES169" s="7" t="s">
        <v>468</v>
      </c>
      <c r="ET169" s="2" t="s">
        <v>469</v>
      </c>
      <c r="EU169" s="2" t="s">
        <v>2604</v>
      </c>
      <c r="EV169" s="3" t="s">
        <v>2939</v>
      </c>
      <c r="EW169" s="197" t="s">
        <v>1589</v>
      </c>
      <c r="EX169" s="197" t="s">
        <v>1503</v>
      </c>
      <c r="EY169" s="2" t="s">
        <v>1504</v>
      </c>
      <c r="EZ169" s="2" t="s">
        <v>3557</v>
      </c>
      <c r="FA169" s="2" t="s">
        <v>3083</v>
      </c>
      <c r="FB169" s="3" t="s">
        <v>1505</v>
      </c>
      <c r="FC169" s="197" t="s">
        <v>493</v>
      </c>
      <c r="FD169" s="504" t="s">
        <v>504</v>
      </c>
      <c r="FE169" s="2" t="s">
        <v>505</v>
      </c>
      <c r="FF169" s="2" t="s">
        <v>1282</v>
      </c>
      <c r="FG169" s="2" t="s">
        <v>1281</v>
      </c>
      <c r="FH169" s="3" t="s">
        <v>1283</v>
      </c>
      <c r="FI169" s="197" t="s">
        <v>494</v>
      </c>
      <c r="FJ169" s="504" t="s">
        <v>4075</v>
      </c>
      <c r="FK169" s="2" t="s">
        <v>500</v>
      </c>
      <c r="FL169" s="2" t="s">
        <v>501</v>
      </c>
      <c r="FM169" s="2" t="s">
        <v>502</v>
      </c>
      <c r="FN169" s="3" t="s">
        <v>503</v>
      </c>
      <c r="FO169" s="197" t="s">
        <v>495</v>
      </c>
      <c r="FP169" s="504" t="s">
        <v>2639</v>
      </c>
      <c r="FQ169" s="2" t="s">
        <v>496</v>
      </c>
      <c r="FR169" s="2" t="s">
        <v>497</v>
      </c>
      <c r="FS169" s="2" t="s">
        <v>498</v>
      </c>
      <c r="FT169" s="3" t="s">
        <v>499</v>
      </c>
      <c r="FU169" s="197" t="s">
        <v>1595</v>
      </c>
      <c r="FV169" s="197" t="s">
        <v>2804</v>
      </c>
      <c r="FW169" s="7" t="s">
        <v>2514</v>
      </c>
      <c r="FX169" s="2" t="s">
        <v>2516</v>
      </c>
      <c r="FY169" s="2" t="s">
        <v>2517</v>
      </c>
      <c r="FZ169" s="3" t="s">
        <v>2515</v>
      </c>
      <c r="GA169" s="197" t="s">
        <v>1611</v>
      </c>
      <c r="GB169" s="197" t="s">
        <v>2506</v>
      </c>
      <c r="GC169" s="7" t="s">
        <v>2507</v>
      </c>
      <c r="GD169" s="2" t="s">
        <v>585</v>
      </c>
      <c r="GE169" s="2" t="s">
        <v>2508</v>
      </c>
      <c r="GF169" s="3" t="s">
        <v>2509</v>
      </c>
      <c r="GG169" s="197" t="s">
        <v>2681</v>
      </c>
      <c r="GH169" s="197" t="s">
        <v>2662</v>
      </c>
      <c r="GI169" s="7" t="s">
        <v>3069</v>
      </c>
      <c r="GJ169" s="2" t="s">
        <v>3070</v>
      </c>
      <c r="GK169" s="2" t="s">
        <v>2665</v>
      </c>
      <c r="GL169" s="3" t="s">
        <v>3071</v>
      </c>
      <c r="GM169" s="197" t="s">
        <v>1594</v>
      </c>
      <c r="GN169" s="197" t="s">
        <v>4041</v>
      </c>
      <c r="GO169" s="7" t="s">
        <v>2497</v>
      </c>
      <c r="GP169" s="2" t="s">
        <v>2498</v>
      </c>
      <c r="GQ169" s="2" t="s">
        <v>2499</v>
      </c>
      <c r="GR169" s="3" t="s">
        <v>2500</v>
      </c>
      <c r="GS169" s="197" t="s">
        <v>1612</v>
      </c>
      <c r="GT169" s="197" t="s">
        <v>2829</v>
      </c>
      <c r="GU169" s="7" t="s">
        <v>3613</v>
      </c>
      <c r="GV169" s="2" t="s">
        <v>2501</v>
      </c>
      <c r="GW169" s="2" t="s">
        <v>2830</v>
      </c>
      <c r="GX169" s="3" t="s">
        <v>2831</v>
      </c>
      <c r="GY169" s="197" t="s">
        <v>1287</v>
      </c>
      <c r="GZ169" s="504" t="s">
        <v>4041</v>
      </c>
      <c r="HA169" s="2" t="s">
        <v>1288</v>
      </c>
      <c r="HB169" s="2" t="s">
        <v>3065</v>
      </c>
      <c r="HC169" s="2" t="s">
        <v>1290</v>
      </c>
      <c r="HD169" s="3" t="s">
        <v>1291</v>
      </c>
      <c r="HE169" s="197"/>
      <c r="HF169" s="197"/>
      <c r="HG169" s="7"/>
      <c r="HH169" s="2"/>
      <c r="HI169" s="2"/>
      <c r="HJ169" s="3"/>
      <c r="HK169" s="197"/>
      <c r="HL169" s="197"/>
      <c r="HM169" s="7"/>
      <c r="HN169" s="2"/>
      <c r="HO169" s="2"/>
      <c r="HP169" s="3"/>
      <c r="HQ169" s="197"/>
      <c r="HR169" s="197"/>
      <c r="HS169" s="7"/>
      <c r="HT169" s="2"/>
      <c r="HU169" s="2"/>
      <c r="HV169" s="3"/>
      <c r="HW169" s="197"/>
      <c r="HX169" s="197"/>
      <c r="HY169" s="7"/>
      <c r="HZ169" s="2"/>
      <c r="IA169" s="2"/>
      <c r="IB169" s="3"/>
      <c r="IC169" s="197"/>
      <c r="ID169" s="197"/>
      <c r="IE169" s="7"/>
      <c r="IF169" s="2"/>
      <c r="IG169" s="2"/>
      <c r="IH169" s="3"/>
      <c r="II169" s="197"/>
      <c r="IJ169" s="197"/>
      <c r="IK169" s="7"/>
      <c r="IL169" s="2"/>
      <c r="IM169" s="2"/>
      <c r="IN169" s="3"/>
      <c r="IO169" s="197"/>
      <c r="IP169" s="197"/>
      <c r="IQ169" s="7"/>
      <c r="IR169" s="2"/>
      <c r="IS169" s="2"/>
      <c r="IT169" s="3"/>
    </row>
    <row r="170" spans="1:254" s="507" customFormat="1" ht="12.9" customHeight="1" x14ac:dyDescent="0.2">
      <c r="A170" s="505" t="str">
        <f>+'Past Quartets 1st - 3rd Place'!A180</f>
        <v>2011 P</v>
      </c>
      <c r="B170" s="503">
        <f>+'Past Quartets 1st - 3rd Place'!B180</f>
        <v>44</v>
      </c>
      <c r="C170" s="197" t="s">
        <v>4011</v>
      </c>
      <c r="D170" s="245" t="s">
        <v>517</v>
      </c>
      <c r="E170" s="2" t="s">
        <v>2764</v>
      </c>
      <c r="F170" s="2" t="s">
        <v>2765</v>
      </c>
      <c r="G170" s="2" t="s">
        <v>2766</v>
      </c>
      <c r="H170" s="2" t="s">
        <v>2767</v>
      </c>
      <c r="I170" s="197" t="s">
        <v>1602</v>
      </c>
      <c r="J170" s="197" t="s">
        <v>3250</v>
      </c>
      <c r="K170" s="7" t="s">
        <v>3284</v>
      </c>
      <c r="L170" s="2" t="s">
        <v>3251</v>
      </c>
      <c r="M170" s="2" t="s">
        <v>2941</v>
      </c>
      <c r="N170" s="3" t="s">
        <v>3610</v>
      </c>
      <c r="O170" s="197" t="s">
        <v>4017</v>
      </c>
      <c r="P170" s="197" t="s">
        <v>517</v>
      </c>
      <c r="Q170" s="7" t="s">
        <v>1243</v>
      </c>
      <c r="R170" s="2" t="s">
        <v>1244</v>
      </c>
      <c r="S170" s="2" t="s">
        <v>1245</v>
      </c>
      <c r="T170" s="3" t="s">
        <v>1246</v>
      </c>
      <c r="U170" s="197" t="s">
        <v>4018</v>
      </c>
      <c r="V170" s="245" t="s">
        <v>649</v>
      </c>
      <c r="W170" s="2" t="s">
        <v>3351</v>
      </c>
      <c r="X170" s="2" t="s">
        <v>3557</v>
      </c>
      <c r="Y170" s="2" t="s">
        <v>3083</v>
      </c>
      <c r="Z170" s="2" t="s">
        <v>2332</v>
      </c>
      <c r="AA170" s="197" t="s">
        <v>349</v>
      </c>
      <c r="AB170" s="261" t="s">
        <v>2769</v>
      </c>
      <c r="AC170" s="27" t="s">
        <v>350</v>
      </c>
      <c r="AD170" s="27" t="s">
        <v>351</v>
      </c>
      <c r="AE170" s="27" t="s">
        <v>352</v>
      </c>
      <c r="AF170" s="28" t="s">
        <v>483</v>
      </c>
      <c r="AG170" s="197" t="s">
        <v>3998</v>
      </c>
      <c r="AH170" s="197" t="s">
        <v>652</v>
      </c>
      <c r="AI170" s="7" t="s">
        <v>2793</v>
      </c>
      <c r="AJ170" s="2" t="s">
        <v>4080</v>
      </c>
      <c r="AK170" s="2" t="s">
        <v>2466</v>
      </c>
      <c r="AL170" s="3" t="s">
        <v>4045</v>
      </c>
      <c r="AM170" s="197" t="s">
        <v>1564</v>
      </c>
      <c r="AN170" s="197" t="s">
        <v>1832</v>
      </c>
      <c r="AO170" s="2" t="s">
        <v>1833</v>
      </c>
      <c r="AP170" s="2" t="s">
        <v>1834</v>
      </c>
      <c r="AQ170" s="2" t="s">
        <v>1887</v>
      </c>
      <c r="AR170" s="3" t="s">
        <v>1835</v>
      </c>
      <c r="AS170" s="197" t="s">
        <v>3599</v>
      </c>
      <c r="AT170" s="197" t="s">
        <v>2668</v>
      </c>
      <c r="AU170" s="7" t="s">
        <v>3080</v>
      </c>
      <c r="AV170" s="2" t="s">
        <v>3081</v>
      </c>
      <c r="AW170" s="2" t="s">
        <v>3602</v>
      </c>
      <c r="AX170" s="3" t="s">
        <v>1247</v>
      </c>
      <c r="AY170" s="197" t="s">
        <v>1584</v>
      </c>
      <c r="AZ170" s="261" t="s">
        <v>2668</v>
      </c>
      <c r="BA170" s="27" t="s">
        <v>2965</v>
      </c>
      <c r="BB170" s="27" t="s">
        <v>2966</v>
      </c>
      <c r="BC170" s="27" t="s">
        <v>3367</v>
      </c>
      <c r="BD170" s="28" t="s">
        <v>3368</v>
      </c>
      <c r="BE170" s="197" t="s">
        <v>4019</v>
      </c>
      <c r="BF170" s="197" t="s">
        <v>4079</v>
      </c>
      <c r="BG170" s="2" t="s">
        <v>1969</v>
      </c>
      <c r="BH170" s="2" t="s">
        <v>2968</v>
      </c>
      <c r="BI170" s="2" t="s">
        <v>255</v>
      </c>
      <c r="BJ170" s="3" t="s">
        <v>3555</v>
      </c>
      <c r="BK170" s="197" t="s">
        <v>530</v>
      </c>
      <c r="BL170" s="197" t="s">
        <v>1310</v>
      </c>
      <c r="BM170" s="2" t="s">
        <v>3350</v>
      </c>
      <c r="BN170" s="2" t="s">
        <v>3367</v>
      </c>
      <c r="BO170" s="2" t="s">
        <v>4033</v>
      </c>
      <c r="BP170" s="3" t="s">
        <v>1425</v>
      </c>
      <c r="BQ170" s="197" t="s">
        <v>1592</v>
      </c>
      <c r="BR170" s="197" t="s">
        <v>3580</v>
      </c>
      <c r="BS170" s="2" t="s">
        <v>3979</v>
      </c>
      <c r="BT170" s="2" t="s">
        <v>2139</v>
      </c>
      <c r="BU170" s="2" t="s">
        <v>3967</v>
      </c>
      <c r="BV170" s="3" t="s">
        <v>1994</v>
      </c>
      <c r="BW170" s="197" t="s">
        <v>3999</v>
      </c>
      <c r="BX170" s="504" t="s">
        <v>649</v>
      </c>
      <c r="BY170" s="2" t="s">
        <v>3527</v>
      </c>
      <c r="BZ170" s="2" t="s">
        <v>650</v>
      </c>
      <c r="CA170" s="2" t="s">
        <v>1261</v>
      </c>
      <c r="CB170" s="3" t="s">
        <v>651</v>
      </c>
      <c r="CC170" s="197" t="s">
        <v>531</v>
      </c>
      <c r="CD170" s="197" t="s">
        <v>4079</v>
      </c>
      <c r="CE170" s="2" t="s">
        <v>1427</v>
      </c>
      <c r="CF170" s="2" t="s">
        <v>3042</v>
      </c>
      <c r="CG170" s="2" t="s">
        <v>3043</v>
      </c>
      <c r="CH170" s="2" t="s">
        <v>3044</v>
      </c>
      <c r="CI170" s="197" t="s">
        <v>532</v>
      </c>
      <c r="CJ170" s="197" t="s">
        <v>4041</v>
      </c>
      <c r="CK170" s="2" t="s">
        <v>1288</v>
      </c>
      <c r="CL170" s="2" t="s">
        <v>1291</v>
      </c>
      <c r="CM170" s="2" t="s">
        <v>3045</v>
      </c>
      <c r="CN170" s="3" t="s">
        <v>2498</v>
      </c>
      <c r="CO170" s="197" t="s">
        <v>533</v>
      </c>
      <c r="CP170" s="197" t="s">
        <v>3580</v>
      </c>
      <c r="CQ170" s="7" t="s">
        <v>3981</v>
      </c>
      <c r="CR170" s="2" t="s">
        <v>2265</v>
      </c>
      <c r="CS170" s="2" t="s">
        <v>3881</v>
      </c>
      <c r="CT170" s="3" t="s">
        <v>648</v>
      </c>
      <c r="CU170" s="197" t="s">
        <v>1603</v>
      </c>
      <c r="CV170" s="197" t="s">
        <v>3357</v>
      </c>
      <c r="CW170" s="7" t="s">
        <v>3360</v>
      </c>
      <c r="CX170" s="2" t="s">
        <v>1220</v>
      </c>
      <c r="CY170" s="2" t="s">
        <v>3046</v>
      </c>
      <c r="CZ170" s="3" t="s">
        <v>1222</v>
      </c>
      <c r="DA170" s="197" t="s">
        <v>1563</v>
      </c>
      <c r="DB170" s="197" t="s">
        <v>4041</v>
      </c>
      <c r="DC170" s="2" t="s">
        <v>2972</v>
      </c>
      <c r="DD170" s="2" t="s">
        <v>1408</v>
      </c>
      <c r="DE170" s="2" t="s">
        <v>3256</v>
      </c>
      <c r="DF170" s="3" t="s">
        <v>3255</v>
      </c>
      <c r="DG170" s="197" t="s">
        <v>4001</v>
      </c>
      <c r="DH170" s="197" t="s">
        <v>2769</v>
      </c>
      <c r="DI170" s="7" t="s">
        <v>350</v>
      </c>
      <c r="DJ170" s="2" t="s">
        <v>1224</v>
      </c>
      <c r="DK170" s="2" t="s">
        <v>3468</v>
      </c>
      <c r="DL170" s="3" t="s">
        <v>1225</v>
      </c>
      <c r="DM170" s="197" t="s">
        <v>462</v>
      </c>
      <c r="DN170" s="197" t="s">
        <v>2741</v>
      </c>
      <c r="DO170" s="7" t="s">
        <v>3050</v>
      </c>
      <c r="DP170" s="2" t="s">
        <v>3051</v>
      </c>
      <c r="DQ170" s="2" t="s">
        <v>3052</v>
      </c>
      <c r="DR170" s="3" t="s">
        <v>3053</v>
      </c>
      <c r="DS170" s="197" t="s">
        <v>463</v>
      </c>
      <c r="DT170" s="197" t="s">
        <v>3054</v>
      </c>
      <c r="DU170" s="7" t="s">
        <v>3055</v>
      </c>
      <c r="DV170" s="2" t="s">
        <v>3056</v>
      </c>
      <c r="DW170" s="2" t="s">
        <v>3057</v>
      </c>
      <c r="DX170" s="3" t="s">
        <v>3058</v>
      </c>
      <c r="DY170" s="197" t="s">
        <v>3343</v>
      </c>
      <c r="DZ170" s="197" t="s">
        <v>730</v>
      </c>
      <c r="EA170" s="7" t="s">
        <v>2596</v>
      </c>
      <c r="EB170" s="2" t="s">
        <v>416</v>
      </c>
      <c r="EC170" s="2" t="s">
        <v>417</v>
      </c>
      <c r="ED170" s="3" t="s">
        <v>418</v>
      </c>
      <c r="EE170" s="197" t="s">
        <v>4002</v>
      </c>
      <c r="EF170" s="504" t="s">
        <v>649</v>
      </c>
      <c r="EG170" s="2" t="s">
        <v>1507</v>
      </c>
      <c r="EH170" s="2" t="s">
        <v>3557</v>
      </c>
      <c r="EI170" s="2" t="s">
        <v>3083</v>
      </c>
      <c r="EJ170" s="3" t="s">
        <v>432</v>
      </c>
      <c r="EK170" s="197" t="s">
        <v>1606</v>
      </c>
      <c r="EL170" s="197" t="s">
        <v>4079</v>
      </c>
      <c r="EM170" s="7" t="s">
        <v>3870</v>
      </c>
      <c r="EN170" s="2" t="s">
        <v>1226</v>
      </c>
      <c r="EO170" s="2" t="s">
        <v>1227</v>
      </c>
      <c r="EP170" s="3" t="s">
        <v>1228</v>
      </c>
      <c r="EQ170" s="197" t="s">
        <v>464</v>
      </c>
      <c r="ER170" s="197" t="s">
        <v>3062</v>
      </c>
      <c r="ES170" s="7" t="s">
        <v>2328</v>
      </c>
      <c r="ET170" s="2" t="s">
        <v>446</v>
      </c>
      <c r="EU170" s="2" t="s">
        <v>445</v>
      </c>
      <c r="EV170" s="3" t="s">
        <v>1249</v>
      </c>
      <c r="EW170" s="197" t="s">
        <v>1594</v>
      </c>
      <c r="EX170" s="197" t="s">
        <v>4041</v>
      </c>
      <c r="EY170" s="2" t="s">
        <v>2761</v>
      </c>
      <c r="EZ170" s="2" t="s">
        <v>2498</v>
      </c>
      <c r="FA170" s="2" t="s">
        <v>3063</v>
      </c>
      <c r="FB170" s="3" t="s">
        <v>2500</v>
      </c>
      <c r="FC170" s="197" t="s">
        <v>4004</v>
      </c>
      <c r="FD170" s="504" t="s">
        <v>2184</v>
      </c>
      <c r="FE170" s="2" t="s">
        <v>1229</v>
      </c>
      <c r="FF170" s="2" t="s">
        <v>3553</v>
      </c>
      <c r="FG170" s="2" t="s">
        <v>1230</v>
      </c>
      <c r="FH170" s="3" t="s">
        <v>278</v>
      </c>
      <c r="FI170" s="197" t="s">
        <v>1559</v>
      </c>
      <c r="FJ170" s="504" t="s">
        <v>3064</v>
      </c>
      <c r="FK170" s="2" t="s">
        <v>2658</v>
      </c>
      <c r="FL170" s="2" t="s">
        <v>3962</v>
      </c>
      <c r="FM170" s="2" t="s">
        <v>3963</v>
      </c>
      <c r="FN170" s="3" t="s">
        <v>3964</v>
      </c>
      <c r="FO170" s="197" t="s">
        <v>1287</v>
      </c>
      <c r="FP170" s="504" t="s">
        <v>4041</v>
      </c>
      <c r="FQ170" s="2" t="s">
        <v>1288</v>
      </c>
      <c r="FR170" s="2" t="s">
        <v>3065</v>
      </c>
      <c r="FS170" s="2" t="s">
        <v>1290</v>
      </c>
      <c r="FT170" s="3" t="s">
        <v>1291</v>
      </c>
      <c r="FU170" s="197" t="s">
        <v>494</v>
      </c>
      <c r="FV170" s="197" t="s">
        <v>3066</v>
      </c>
      <c r="FW170" s="7" t="s">
        <v>501</v>
      </c>
      <c r="FX170" s="2" t="s">
        <v>1264</v>
      </c>
      <c r="FY170" s="2" t="s">
        <v>502</v>
      </c>
      <c r="FZ170" s="3" t="s">
        <v>503</v>
      </c>
      <c r="GA170" s="197" t="s">
        <v>495</v>
      </c>
      <c r="GB170" s="197" t="s">
        <v>2639</v>
      </c>
      <c r="GC170" s="7" t="s">
        <v>496</v>
      </c>
      <c r="GD170" s="2" t="s">
        <v>497</v>
      </c>
      <c r="GE170" s="2" t="s">
        <v>498</v>
      </c>
      <c r="GF170" s="3" t="s">
        <v>499</v>
      </c>
      <c r="GG170" s="197" t="s">
        <v>465</v>
      </c>
      <c r="GH170" s="197" t="s">
        <v>2804</v>
      </c>
      <c r="GI170" s="7" t="s">
        <v>3067</v>
      </c>
      <c r="GJ170" s="2" t="s">
        <v>2515</v>
      </c>
      <c r="GK170" s="2" t="s">
        <v>3068</v>
      </c>
      <c r="GL170" s="3" t="s">
        <v>648</v>
      </c>
      <c r="GM170" s="197" t="s">
        <v>1610</v>
      </c>
      <c r="GN170" s="197" t="s">
        <v>487</v>
      </c>
      <c r="GO170" s="7" t="s">
        <v>3072</v>
      </c>
      <c r="GP170" s="2" t="s">
        <v>2136</v>
      </c>
      <c r="GQ170" s="2" t="s">
        <v>3073</v>
      </c>
      <c r="GR170" s="3" t="s">
        <v>489</v>
      </c>
      <c r="GS170" s="197" t="s">
        <v>4012</v>
      </c>
      <c r="GT170" s="197" t="s">
        <v>1885</v>
      </c>
      <c r="GU170" s="7" t="s">
        <v>822</v>
      </c>
      <c r="GV170" s="2" t="s">
        <v>4013</v>
      </c>
      <c r="GW170" s="2" t="s">
        <v>1828</v>
      </c>
      <c r="GX170" s="3" t="s">
        <v>4014</v>
      </c>
      <c r="GY170" s="197" t="s">
        <v>4015</v>
      </c>
      <c r="GZ170" s="197" t="s">
        <v>1232</v>
      </c>
      <c r="HA170" s="7" t="s">
        <v>2527</v>
      </c>
      <c r="HB170" s="2" t="s">
        <v>2528</v>
      </c>
      <c r="HC170" s="2" t="s">
        <v>1233</v>
      </c>
      <c r="HD170" s="3" t="s">
        <v>3911</v>
      </c>
      <c r="HE170" s="197" t="s">
        <v>4016</v>
      </c>
      <c r="HF170" s="197" t="s">
        <v>579</v>
      </c>
      <c r="HG170" s="7" t="s">
        <v>2832</v>
      </c>
      <c r="HH170" s="2" t="s">
        <v>2833</v>
      </c>
      <c r="HI170" s="2" t="s">
        <v>2834</v>
      </c>
      <c r="HJ170" s="3" t="s">
        <v>825</v>
      </c>
      <c r="HK170" s="197" t="s">
        <v>466</v>
      </c>
      <c r="HL170" s="197" t="s">
        <v>3973</v>
      </c>
      <c r="HM170" s="7" t="s">
        <v>2835</v>
      </c>
      <c r="HN170" s="2" t="s">
        <v>2836</v>
      </c>
      <c r="HO170" s="2" t="s">
        <v>2837</v>
      </c>
      <c r="HP170" s="3" t="s">
        <v>2838</v>
      </c>
      <c r="HQ170" s="197" t="s">
        <v>467</v>
      </c>
      <c r="HR170" s="197" t="s">
        <v>4041</v>
      </c>
      <c r="HS170" s="7" t="s">
        <v>2761</v>
      </c>
      <c r="HT170" s="2" t="s">
        <v>2762</v>
      </c>
      <c r="HU170" s="2" t="s">
        <v>2763</v>
      </c>
      <c r="HV170" s="3" t="s">
        <v>2500</v>
      </c>
      <c r="HW170" s="197"/>
      <c r="HX170" s="197"/>
      <c r="HY170" s="7"/>
      <c r="HZ170" s="2"/>
      <c r="IA170" s="2"/>
      <c r="IB170" s="3"/>
      <c r="IC170" s="197"/>
      <c r="ID170" s="197"/>
      <c r="IE170" s="7"/>
      <c r="IF170" s="2"/>
      <c r="IG170" s="2"/>
      <c r="IH170" s="3"/>
      <c r="II170" s="197"/>
      <c r="IJ170" s="197"/>
      <c r="IK170" s="7"/>
      <c r="IL170" s="2"/>
      <c r="IM170" s="2"/>
      <c r="IN170" s="3"/>
      <c r="IO170" s="197"/>
      <c r="IP170" s="197"/>
      <c r="IQ170" s="7"/>
      <c r="IR170" s="2"/>
      <c r="IS170" s="2"/>
      <c r="IT170" s="3"/>
    </row>
    <row r="171" spans="1:254" s="507" customFormat="1" ht="12.9" customHeight="1" x14ac:dyDescent="0.2">
      <c r="A171" s="505" t="str">
        <f>+'Past Quartets 1st - 3rd Place'!A181</f>
        <v>2012 P</v>
      </c>
      <c r="B171" s="503">
        <f>+'Past Quartets 1st - 3rd Place'!B181</f>
        <v>38</v>
      </c>
      <c r="C171" s="197" t="s">
        <v>2697</v>
      </c>
      <c r="D171" s="245" t="s">
        <v>4079</v>
      </c>
      <c r="E171" s="2" t="s">
        <v>735</v>
      </c>
      <c r="F171" s="2" t="s">
        <v>4081</v>
      </c>
      <c r="G171" s="2" t="s">
        <v>3088</v>
      </c>
      <c r="H171" s="2" t="s">
        <v>3514</v>
      </c>
      <c r="I171" s="197" t="s">
        <v>2698</v>
      </c>
      <c r="J171" s="197" t="s">
        <v>730</v>
      </c>
      <c r="K171" s="7" t="s">
        <v>3079</v>
      </c>
      <c r="L171" s="2" t="s">
        <v>416</v>
      </c>
      <c r="M171" s="2" t="s">
        <v>417</v>
      </c>
      <c r="N171" s="3" t="s">
        <v>418</v>
      </c>
      <c r="O171" s="197" t="s">
        <v>1585</v>
      </c>
      <c r="P171" s="197" t="s">
        <v>4079</v>
      </c>
      <c r="Q171" s="7" t="s">
        <v>1969</v>
      </c>
      <c r="R171" s="2" t="s">
        <v>2968</v>
      </c>
      <c r="S171" s="2" t="s">
        <v>3271</v>
      </c>
      <c r="T171" s="3" t="s">
        <v>3555</v>
      </c>
      <c r="U171" s="197" t="s">
        <v>2092</v>
      </c>
      <c r="V171" s="245" t="s">
        <v>2993</v>
      </c>
      <c r="W171" s="2" t="s">
        <v>2793</v>
      </c>
      <c r="X171" s="2" t="s">
        <v>4080</v>
      </c>
      <c r="Y171" s="2" t="s">
        <v>2466</v>
      </c>
      <c r="Z171" s="2" t="s">
        <v>4045</v>
      </c>
      <c r="AA171" s="197" t="s">
        <v>2699</v>
      </c>
      <c r="AB171" s="261" t="s">
        <v>1008</v>
      </c>
      <c r="AC171" s="27" t="s">
        <v>2700</v>
      </c>
      <c r="AD171" s="27" t="s">
        <v>2701</v>
      </c>
      <c r="AE171" s="27" t="s">
        <v>2702</v>
      </c>
      <c r="AF171" s="28" t="s">
        <v>2703</v>
      </c>
      <c r="AG171" s="197" t="s">
        <v>1584</v>
      </c>
      <c r="AH171" s="261" t="s">
        <v>487</v>
      </c>
      <c r="AI171" s="27" t="s">
        <v>2965</v>
      </c>
      <c r="AJ171" s="27" t="s">
        <v>2966</v>
      </c>
      <c r="AK171" s="27" t="s">
        <v>3367</v>
      </c>
      <c r="AL171" s="28" t="s">
        <v>3368</v>
      </c>
      <c r="AM171" s="197" t="s">
        <v>532</v>
      </c>
      <c r="AN171" s="197" t="s">
        <v>4041</v>
      </c>
      <c r="AO171" s="2" t="s">
        <v>1288</v>
      </c>
      <c r="AP171" s="2" t="s">
        <v>1291</v>
      </c>
      <c r="AQ171" s="2" t="s">
        <v>3045</v>
      </c>
      <c r="AR171" s="3" t="s">
        <v>50</v>
      </c>
      <c r="AS171" s="197" t="s">
        <v>3999</v>
      </c>
      <c r="AT171" s="197" t="s">
        <v>2733</v>
      </c>
      <c r="AU171" s="7" t="s">
        <v>3527</v>
      </c>
      <c r="AV171" s="2" t="s">
        <v>650</v>
      </c>
      <c r="AW171" s="2" t="s">
        <v>1261</v>
      </c>
      <c r="AX171" s="3" t="s">
        <v>3607</v>
      </c>
      <c r="AY171" s="197" t="s">
        <v>1606</v>
      </c>
      <c r="AZ171" s="261" t="s">
        <v>4079</v>
      </c>
      <c r="BA171" s="27" t="s">
        <v>3870</v>
      </c>
      <c r="BB171" s="27" t="s">
        <v>1226</v>
      </c>
      <c r="BC171" s="27" t="s">
        <v>1227</v>
      </c>
      <c r="BD171" s="28" t="s">
        <v>51</v>
      </c>
      <c r="BE171" s="197" t="s">
        <v>1563</v>
      </c>
      <c r="BF171" s="197" t="s">
        <v>4041</v>
      </c>
      <c r="BG171" s="2" t="s">
        <v>2972</v>
      </c>
      <c r="BH171" s="2" t="s">
        <v>1408</v>
      </c>
      <c r="BI171" s="2" t="s">
        <v>3256</v>
      </c>
      <c r="BJ171" s="3" t="s">
        <v>3255</v>
      </c>
      <c r="BK171" s="197" t="s">
        <v>1592</v>
      </c>
      <c r="BL171" s="197" t="s">
        <v>2995</v>
      </c>
      <c r="BM171" s="2" t="s">
        <v>3979</v>
      </c>
      <c r="BN171" s="2" t="s">
        <v>2139</v>
      </c>
      <c r="BO171" s="2" t="s">
        <v>3967</v>
      </c>
      <c r="BP171" s="3" t="s">
        <v>1994</v>
      </c>
      <c r="BQ171" s="197" t="s">
        <v>52</v>
      </c>
      <c r="BR171" s="197" t="s">
        <v>730</v>
      </c>
      <c r="BS171" s="2" t="s">
        <v>2835</v>
      </c>
      <c r="BT171" s="2" t="s">
        <v>2836</v>
      </c>
      <c r="BU171" s="2" t="s">
        <v>417</v>
      </c>
      <c r="BV171" s="3" t="s">
        <v>418</v>
      </c>
      <c r="BW171" s="197" t="s">
        <v>3996</v>
      </c>
      <c r="BX171" s="504" t="s">
        <v>1523</v>
      </c>
      <c r="BY171" s="2" t="s">
        <v>833</v>
      </c>
      <c r="BZ171" s="2" t="s">
        <v>834</v>
      </c>
      <c r="CA171" s="2" t="s">
        <v>835</v>
      </c>
      <c r="CB171" s="3" t="s">
        <v>836</v>
      </c>
      <c r="CC171" s="197" t="s">
        <v>53</v>
      </c>
      <c r="CD171" s="197" t="s">
        <v>314</v>
      </c>
      <c r="CE171" s="2" t="s">
        <v>54</v>
      </c>
      <c r="CF171" s="2" t="s">
        <v>2136</v>
      </c>
      <c r="CG171" s="2" t="s">
        <v>1421</v>
      </c>
      <c r="CH171" s="2" t="s">
        <v>3041</v>
      </c>
      <c r="CI171" s="197" t="s">
        <v>1550</v>
      </c>
      <c r="CJ171" s="197" t="s">
        <v>2997</v>
      </c>
      <c r="CK171" s="2" t="s">
        <v>597</v>
      </c>
      <c r="CL171" s="2" t="s">
        <v>1256</v>
      </c>
      <c r="CM171" s="2" t="s">
        <v>2830</v>
      </c>
      <c r="CN171" s="3" t="s">
        <v>2970</v>
      </c>
      <c r="CO171" s="197" t="s">
        <v>55</v>
      </c>
      <c r="CP171" s="197" t="s">
        <v>3580</v>
      </c>
      <c r="CQ171" s="7" t="s">
        <v>3981</v>
      </c>
      <c r="CR171" s="2" t="s">
        <v>178</v>
      </c>
      <c r="CS171" s="2" t="s">
        <v>3983</v>
      </c>
      <c r="CT171" s="3" t="s">
        <v>3984</v>
      </c>
      <c r="CU171" s="197" t="s">
        <v>821</v>
      </c>
      <c r="CV171" s="197" t="s">
        <v>56</v>
      </c>
      <c r="CW171" s="7" t="s">
        <v>822</v>
      </c>
      <c r="CX171" s="2" t="s">
        <v>57</v>
      </c>
      <c r="CY171" s="2" t="s">
        <v>824</v>
      </c>
      <c r="CZ171" s="3" t="s">
        <v>825</v>
      </c>
      <c r="DA171" s="197" t="s">
        <v>4018</v>
      </c>
      <c r="DB171" s="197" t="s">
        <v>4852</v>
      </c>
      <c r="DC171" s="2" t="s">
        <v>2332</v>
      </c>
      <c r="DD171" s="2" t="s">
        <v>3557</v>
      </c>
      <c r="DE171" s="2" t="s">
        <v>3083</v>
      </c>
      <c r="DF171" s="3" t="s">
        <v>3607</v>
      </c>
      <c r="DG171" s="197" t="s">
        <v>58</v>
      </c>
      <c r="DH171" s="197" t="s">
        <v>730</v>
      </c>
      <c r="DI171" s="7" t="s">
        <v>417</v>
      </c>
      <c r="DJ171" s="2" t="s">
        <v>59</v>
      </c>
      <c r="DK171" s="2" t="s">
        <v>60</v>
      </c>
      <c r="DL171" s="3" t="s">
        <v>61</v>
      </c>
      <c r="DM171" s="197" t="s">
        <v>62</v>
      </c>
      <c r="DN171" s="197" t="s">
        <v>4041</v>
      </c>
      <c r="DO171" s="7" t="s">
        <v>63</v>
      </c>
      <c r="DP171" s="2" t="s">
        <v>1291</v>
      </c>
      <c r="DQ171" s="2" t="s">
        <v>64</v>
      </c>
      <c r="DR171" s="2" t="s">
        <v>2762</v>
      </c>
      <c r="DS171" s="197" t="s">
        <v>65</v>
      </c>
      <c r="DT171" s="197" t="s">
        <v>3635</v>
      </c>
      <c r="DU171" s="7" t="s">
        <v>66</v>
      </c>
      <c r="DV171" s="2" t="s">
        <v>67</v>
      </c>
      <c r="DW171" s="2" t="s">
        <v>1828</v>
      </c>
      <c r="DX171" s="3" t="s">
        <v>68</v>
      </c>
      <c r="DY171" s="197" t="s">
        <v>69</v>
      </c>
      <c r="DZ171" s="197" t="s">
        <v>2291</v>
      </c>
      <c r="EA171" s="7" t="s">
        <v>70</v>
      </c>
      <c r="EB171" s="2" t="s">
        <v>71</v>
      </c>
      <c r="EC171" s="2" t="s">
        <v>2587</v>
      </c>
      <c r="ED171" s="3" t="s">
        <v>72</v>
      </c>
      <c r="EE171" s="197" t="s">
        <v>73</v>
      </c>
      <c r="EF171" s="504" t="s">
        <v>2292</v>
      </c>
      <c r="EG171" s="2" t="s">
        <v>74</v>
      </c>
      <c r="EH171" s="2" t="s">
        <v>75</v>
      </c>
      <c r="EI171" s="2" t="s">
        <v>76</v>
      </c>
      <c r="EJ171" s="3" t="s">
        <v>77</v>
      </c>
      <c r="EK171" s="197" t="s">
        <v>465</v>
      </c>
      <c r="EL171" s="197" t="s">
        <v>2293</v>
      </c>
      <c r="EM171" s="7" t="s">
        <v>78</v>
      </c>
      <c r="EN171" s="2" t="s">
        <v>79</v>
      </c>
      <c r="EO171" s="2" t="s">
        <v>3068</v>
      </c>
      <c r="EP171" s="3" t="s">
        <v>648</v>
      </c>
      <c r="EQ171" s="197" t="s">
        <v>80</v>
      </c>
      <c r="ER171" s="197" t="s">
        <v>2294</v>
      </c>
      <c r="ES171" s="7" t="s">
        <v>81</v>
      </c>
      <c r="ET171" s="2" t="s">
        <v>1291</v>
      </c>
      <c r="EU171" s="2" t="s">
        <v>82</v>
      </c>
      <c r="EV171" s="3" t="s">
        <v>83</v>
      </c>
      <c r="EW171" s="197" t="s">
        <v>84</v>
      </c>
      <c r="EX171" s="197" t="s">
        <v>2295</v>
      </c>
      <c r="EY171" s="2" t="s">
        <v>2963</v>
      </c>
      <c r="EZ171" s="2" t="s">
        <v>85</v>
      </c>
      <c r="FA171" s="2" t="s">
        <v>86</v>
      </c>
      <c r="FB171" s="3" t="s">
        <v>87</v>
      </c>
      <c r="FC171" s="197" t="s">
        <v>1559</v>
      </c>
      <c r="FD171" s="504" t="s">
        <v>3064</v>
      </c>
      <c r="FE171" s="2" t="s">
        <v>2658</v>
      </c>
      <c r="FF171" s="2" t="s">
        <v>3962</v>
      </c>
      <c r="FG171" s="2" t="s">
        <v>3963</v>
      </c>
      <c r="FH171" s="3" t="s">
        <v>3963</v>
      </c>
      <c r="FI171" s="197" t="s">
        <v>88</v>
      </c>
      <c r="FJ171" s="504" t="s">
        <v>4041</v>
      </c>
      <c r="FK171" s="2" t="s">
        <v>63</v>
      </c>
      <c r="FL171" s="2" t="s">
        <v>89</v>
      </c>
      <c r="FM171" s="2" t="s">
        <v>90</v>
      </c>
      <c r="FN171" s="3" t="s">
        <v>91</v>
      </c>
      <c r="FO171" s="197" t="s">
        <v>3890</v>
      </c>
      <c r="FP171" s="504" t="s">
        <v>1007</v>
      </c>
      <c r="FQ171" s="2" t="s">
        <v>1507</v>
      </c>
      <c r="FR171" s="2" t="s">
        <v>3891</v>
      </c>
      <c r="FS171" s="2" t="s">
        <v>243</v>
      </c>
      <c r="FT171" s="3" t="s">
        <v>432</v>
      </c>
      <c r="FU171" s="197" t="s">
        <v>1530</v>
      </c>
      <c r="FV171" s="197" t="s">
        <v>2297</v>
      </c>
      <c r="FW171" s="7" t="s">
        <v>1531</v>
      </c>
      <c r="FX171" s="2" t="s">
        <v>1532</v>
      </c>
      <c r="FY171" s="2" t="s">
        <v>1533</v>
      </c>
      <c r="FZ171" s="3" t="s">
        <v>1534</v>
      </c>
      <c r="GA171" s="197" t="s">
        <v>1535</v>
      </c>
      <c r="GB171" s="197" t="s">
        <v>2298</v>
      </c>
      <c r="GC171" s="7" t="s">
        <v>1536</v>
      </c>
      <c r="GD171" s="2" t="s">
        <v>1518</v>
      </c>
      <c r="GE171" s="2" t="s">
        <v>1537</v>
      </c>
      <c r="GF171" s="3" t="s">
        <v>1538</v>
      </c>
      <c r="GG171" s="197" t="s">
        <v>1539</v>
      </c>
      <c r="GH171" s="197" t="s">
        <v>2639</v>
      </c>
      <c r="GI171" s="7" t="s">
        <v>246</v>
      </c>
      <c r="GJ171" s="2" t="s">
        <v>1540</v>
      </c>
      <c r="GK171" s="2" t="s">
        <v>2533</v>
      </c>
      <c r="GL171" s="3" t="s">
        <v>1541</v>
      </c>
      <c r="GM171" s="197"/>
      <c r="GN171" s="197"/>
      <c r="GO171" s="7"/>
      <c r="GP171" s="2"/>
      <c r="GQ171" s="2"/>
      <c r="GR171" s="3"/>
      <c r="GS171" s="197"/>
      <c r="GT171" s="197"/>
      <c r="GU171" s="7"/>
      <c r="GV171" s="2"/>
      <c r="GW171" s="2"/>
      <c r="GX171" s="3"/>
      <c r="GY171" s="197"/>
      <c r="GZ171" s="197"/>
      <c r="HA171" s="7"/>
      <c r="HB171" s="2"/>
      <c r="HC171" s="2"/>
      <c r="HD171" s="3"/>
      <c r="HE171" s="197"/>
      <c r="HF171" s="197"/>
      <c r="HG171" s="7"/>
      <c r="HH171" s="2"/>
      <c r="HI171" s="2"/>
      <c r="HJ171" s="3"/>
      <c r="HK171" s="197"/>
      <c r="HL171" s="197"/>
      <c r="HM171" s="7"/>
      <c r="HN171" s="2"/>
      <c r="HO171" s="2"/>
      <c r="HP171" s="3"/>
      <c r="HQ171" s="197"/>
      <c r="HR171" s="197"/>
      <c r="HS171" s="7"/>
      <c r="HT171" s="2"/>
      <c r="HU171" s="2"/>
      <c r="HV171" s="3"/>
      <c r="HW171" s="197"/>
      <c r="HX171" s="197"/>
      <c r="HY171" s="7"/>
      <c r="HZ171" s="2"/>
      <c r="IA171" s="2"/>
      <c r="IB171" s="3"/>
      <c r="IC171" s="197"/>
      <c r="ID171" s="197"/>
      <c r="IE171" s="7"/>
      <c r="IF171" s="2"/>
      <c r="IG171" s="2"/>
      <c r="IH171" s="3"/>
      <c r="II171" s="197"/>
      <c r="IJ171" s="197"/>
      <c r="IK171" s="7"/>
      <c r="IL171" s="2"/>
      <c r="IM171" s="2"/>
      <c r="IN171" s="3"/>
      <c r="IO171" s="197"/>
      <c r="IP171" s="197"/>
      <c r="IQ171" s="7"/>
      <c r="IR171" s="2"/>
      <c r="IS171" s="2"/>
      <c r="IT171" s="3"/>
    </row>
    <row r="172" spans="1:254" s="507" customFormat="1" ht="12.9" customHeight="1" x14ac:dyDescent="0.2">
      <c r="A172" s="505" t="str">
        <f>+'Past Quartets 1st - 3rd Place'!A182</f>
        <v>2013 P</v>
      </c>
      <c r="B172" s="503">
        <f>+'Past Quartets 1st - 3rd Place'!B182</f>
        <v>42</v>
      </c>
      <c r="C172" s="197" t="s">
        <v>2860</v>
      </c>
      <c r="D172" s="245" t="s">
        <v>4041</v>
      </c>
      <c r="E172" s="2" t="s">
        <v>2882</v>
      </c>
      <c r="F172" s="2" t="s">
        <v>2972</v>
      </c>
      <c r="G172" s="2" t="s">
        <v>4044</v>
      </c>
      <c r="H172" s="2" t="s">
        <v>2410</v>
      </c>
      <c r="I172" s="197" t="s">
        <v>2861</v>
      </c>
      <c r="J172" s="197" t="s">
        <v>2885</v>
      </c>
      <c r="K172" s="7" t="s">
        <v>2883</v>
      </c>
      <c r="L172" s="2" t="s">
        <v>4083</v>
      </c>
      <c r="M172" s="2" t="s">
        <v>2607</v>
      </c>
      <c r="N172" s="3" t="s">
        <v>2884</v>
      </c>
      <c r="O172" s="197" t="s">
        <v>52</v>
      </c>
      <c r="P172" s="197" t="s">
        <v>730</v>
      </c>
      <c r="Q172" s="2" t="s">
        <v>2835</v>
      </c>
      <c r="R172" s="2" t="s">
        <v>2836</v>
      </c>
      <c r="S172" s="2" t="s">
        <v>417</v>
      </c>
      <c r="T172" s="3" t="s">
        <v>418</v>
      </c>
      <c r="U172" s="197" t="s">
        <v>2862</v>
      </c>
      <c r="V172" s="245" t="s">
        <v>487</v>
      </c>
      <c r="W172" s="2" t="s">
        <v>2886</v>
      </c>
      <c r="X172" s="2" t="s">
        <v>1252</v>
      </c>
      <c r="Y172" s="2" t="s">
        <v>2412</v>
      </c>
      <c r="Z172" s="2" t="s">
        <v>3368</v>
      </c>
      <c r="AA172" s="197" t="s">
        <v>2692</v>
      </c>
      <c r="AB172" s="245" t="s">
        <v>2215</v>
      </c>
      <c r="AC172" s="2" t="s">
        <v>2764</v>
      </c>
      <c r="AD172" s="2" t="s">
        <v>1180</v>
      </c>
      <c r="AE172" s="2" t="s">
        <v>2766</v>
      </c>
      <c r="AF172" s="2" t="s">
        <v>2767</v>
      </c>
      <c r="AG172" s="197" t="s">
        <v>2863</v>
      </c>
      <c r="AH172" s="261" t="s">
        <v>4624</v>
      </c>
      <c r="AI172" s="27" t="s">
        <v>2887</v>
      </c>
      <c r="AJ172" s="27" t="s">
        <v>2888</v>
      </c>
      <c r="AK172" s="27" t="s">
        <v>60</v>
      </c>
      <c r="AL172" s="28" t="s">
        <v>2889</v>
      </c>
      <c r="AM172" s="197" t="s">
        <v>3999</v>
      </c>
      <c r="AN172" s="197" t="s">
        <v>2733</v>
      </c>
      <c r="AO172" s="7" t="s">
        <v>3527</v>
      </c>
      <c r="AP172" s="2" t="s">
        <v>650</v>
      </c>
      <c r="AQ172" s="2" t="s">
        <v>1261</v>
      </c>
      <c r="AR172" s="3" t="s">
        <v>3607</v>
      </c>
      <c r="AS172" s="197" t="s">
        <v>2864</v>
      </c>
      <c r="AT172" s="261" t="s">
        <v>4606</v>
      </c>
      <c r="AU172" s="7" t="s">
        <v>2890</v>
      </c>
      <c r="AV172" s="2" t="s">
        <v>2891</v>
      </c>
      <c r="AW172" s="2" t="s">
        <v>3055</v>
      </c>
      <c r="AX172" s="3" t="s">
        <v>2892</v>
      </c>
      <c r="AY172" s="197" t="s">
        <v>2865</v>
      </c>
      <c r="AZ172" s="261" t="s">
        <v>4041</v>
      </c>
      <c r="BA172" s="27" t="s">
        <v>2893</v>
      </c>
      <c r="BB172" s="27" t="s">
        <v>2894</v>
      </c>
      <c r="BC172" s="27" t="s">
        <v>2895</v>
      </c>
      <c r="BD172" s="28" t="s">
        <v>2896</v>
      </c>
      <c r="BE172" s="197" t="s">
        <v>2697</v>
      </c>
      <c r="BF172" s="245" t="s">
        <v>4079</v>
      </c>
      <c r="BG172" s="2" t="s">
        <v>735</v>
      </c>
      <c r="BH172" s="2" t="s">
        <v>4081</v>
      </c>
      <c r="BI172" s="2" t="s">
        <v>3088</v>
      </c>
      <c r="BJ172" s="2" t="s">
        <v>3514</v>
      </c>
      <c r="BK172" s="197" t="s">
        <v>1606</v>
      </c>
      <c r="BL172" s="261" t="s">
        <v>4079</v>
      </c>
      <c r="BM172" s="27" t="s">
        <v>3870</v>
      </c>
      <c r="BN172" s="27" t="s">
        <v>1226</v>
      </c>
      <c r="BO172" s="27" t="s">
        <v>1227</v>
      </c>
      <c r="BP172" s="28" t="s">
        <v>51</v>
      </c>
      <c r="BQ172" s="197" t="s">
        <v>1550</v>
      </c>
      <c r="BR172" s="197" t="s">
        <v>904</v>
      </c>
      <c r="BS172" s="2" t="s">
        <v>597</v>
      </c>
      <c r="BT172" s="2" t="s">
        <v>1411</v>
      </c>
      <c r="BU172" s="2" t="s">
        <v>2830</v>
      </c>
      <c r="BV172" s="3" t="s">
        <v>2970</v>
      </c>
      <c r="BW172" s="197" t="s">
        <v>2866</v>
      </c>
      <c r="BX172" s="504" t="s">
        <v>4623</v>
      </c>
      <c r="BY172" s="2" t="s">
        <v>2897</v>
      </c>
      <c r="BZ172" s="2" t="s">
        <v>2898</v>
      </c>
      <c r="CA172" s="2" t="s">
        <v>2899</v>
      </c>
      <c r="CB172" s="3" t="s">
        <v>2900</v>
      </c>
      <c r="CC172" s="197" t="s">
        <v>1603</v>
      </c>
      <c r="CD172" s="197" t="s">
        <v>3357</v>
      </c>
      <c r="CE172" s="2" t="s">
        <v>3360</v>
      </c>
      <c r="CF172" s="2" t="s">
        <v>1220</v>
      </c>
      <c r="CG172" s="2" t="s">
        <v>2508</v>
      </c>
      <c r="CH172" s="2" t="s">
        <v>1222</v>
      </c>
      <c r="CI172" s="197" t="s">
        <v>4018</v>
      </c>
      <c r="CJ172" s="197" t="s">
        <v>2290</v>
      </c>
      <c r="CK172" s="2" t="s">
        <v>2901</v>
      </c>
      <c r="CL172" s="2" t="s">
        <v>3557</v>
      </c>
      <c r="CM172" s="2" t="s">
        <v>3083</v>
      </c>
      <c r="CN172" s="3" t="s">
        <v>3607</v>
      </c>
      <c r="CO172" s="197" t="s">
        <v>2867</v>
      </c>
      <c r="CP172" s="197" t="s">
        <v>1310</v>
      </c>
      <c r="CQ172" s="7" t="s">
        <v>2902</v>
      </c>
      <c r="CR172" s="2" t="s">
        <v>2903</v>
      </c>
      <c r="CS172" s="2" t="s">
        <v>1424</v>
      </c>
      <c r="CT172" s="3" t="s">
        <v>2904</v>
      </c>
      <c r="CU172" s="197" t="s">
        <v>4622</v>
      </c>
      <c r="CV172" s="197" t="s">
        <v>1010</v>
      </c>
      <c r="CW172" s="7" t="s">
        <v>2965</v>
      </c>
      <c r="CX172" s="2" t="s">
        <v>3472</v>
      </c>
      <c r="CY172" s="2" t="s">
        <v>3081</v>
      </c>
      <c r="CZ172" s="3" t="s">
        <v>3368</v>
      </c>
      <c r="DA172" s="197" t="s">
        <v>2868</v>
      </c>
      <c r="DB172" s="197" t="s">
        <v>4851</v>
      </c>
      <c r="DC172" s="2" t="s">
        <v>3431</v>
      </c>
      <c r="DD172" s="2" t="s">
        <v>2950</v>
      </c>
      <c r="DE172" s="2" t="s">
        <v>2905</v>
      </c>
      <c r="DF172" s="3" t="s">
        <v>2906</v>
      </c>
      <c r="DG172" s="197" t="s">
        <v>2869</v>
      </c>
      <c r="DH172" s="197" t="s">
        <v>906</v>
      </c>
      <c r="DI172" s="7" t="s">
        <v>1536</v>
      </c>
      <c r="DJ172" s="2" t="s">
        <v>2907</v>
      </c>
      <c r="DK172" s="2" t="s">
        <v>1537</v>
      </c>
      <c r="DL172" s="3" t="s">
        <v>1538</v>
      </c>
      <c r="DM172" s="197" t="s">
        <v>2870</v>
      </c>
      <c r="DN172" s="197" t="s">
        <v>4625</v>
      </c>
      <c r="DO172" s="7" t="s">
        <v>2908</v>
      </c>
      <c r="DP172" s="2" t="s">
        <v>2909</v>
      </c>
      <c r="DQ172" s="2" t="s">
        <v>2910</v>
      </c>
      <c r="DR172" s="2" t="s">
        <v>2911</v>
      </c>
      <c r="DS172" s="197" t="s">
        <v>2871</v>
      </c>
      <c r="DT172" s="197" t="s">
        <v>4041</v>
      </c>
      <c r="DU172" s="7" t="s">
        <v>2761</v>
      </c>
      <c r="DV172" s="2" t="s">
        <v>3985</v>
      </c>
      <c r="DW172" s="2" t="s">
        <v>3045</v>
      </c>
      <c r="DX172" s="3" t="s">
        <v>2498</v>
      </c>
      <c r="DY172" s="197" t="s">
        <v>2872</v>
      </c>
      <c r="DZ172" s="197" t="s">
        <v>3580</v>
      </c>
      <c r="EA172" s="7" t="s">
        <v>2265</v>
      </c>
      <c r="EB172" s="2" t="s">
        <v>2912</v>
      </c>
      <c r="EC172" s="2" t="s">
        <v>3881</v>
      </c>
      <c r="ED172" s="3" t="s">
        <v>1835</v>
      </c>
      <c r="EE172" s="197" t="s">
        <v>73</v>
      </c>
      <c r="EF172" s="504" t="s">
        <v>2292</v>
      </c>
      <c r="EG172" s="2" t="s">
        <v>3069</v>
      </c>
      <c r="EH172" s="2" t="s">
        <v>75</v>
      </c>
      <c r="EI172" s="2" t="s">
        <v>74</v>
      </c>
      <c r="EJ172" s="3" t="s">
        <v>77</v>
      </c>
      <c r="EK172" s="197" t="s">
        <v>494</v>
      </c>
      <c r="EL172" s="197" t="s">
        <v>3066</v>
      </c>
      <c r="EM172" s="7" t="s">
        <v>501</v>
      </c>
      <c r="EN172" s="2" t="s">
        <v>1264</v>
      </c>
      <c r="EO172" s="2" t="s">
        <v>502</v>
      </c>
      <c r="EP172" s="3" t="s">
        <v>503</v>
      </c>
      <c r="EQ172" s="197" t="s">
        <v>2873</v>
      </c>
      <c r="ER172" s="197" t="s">
        <v>3635</v>
      </c>
      <c r="ES172" s="7" t="s">
        <v>2913</v>
      </c>
      <c r="ET172" s="2" t="s">
        <v>2914</v>
      </c>
      <c r="EU172" s="2" t="s">
        <v>2915</v>
      </c>
      <c r="EV172" s="3" t="s">
        <v>2916</v>
      </c>
      <c r="EW172" s="197" t="s">
        <v>2874</v>
      </c>
      <c r="EX172" s="197" t="s">
        <v>2741</v>
      </c>
      <c r="EY172" s="2" t="s">
        <v>3050</v>
      </c>
      <c r="EZ172" s="2" t="s">
        <v>3051</v>
      </c>
      <c r="FA172" s="2" t="s">
        <v>3052</v>
      </c>
      <c r="FB172" s="3" t="s">
        <v>3053</v>
      </c>
      <c r="FC172" s="197" t="s">
        <v>53</v>
      </c>
      <c r="FD172" s="197" t="s">
        <v>314</v>
      </c>
      <c r="FE172" s="2" t="s">
        <v>54</v>
      </c>
      <c r="FF172" s="2" t="s">
        <v>3041</v>
      </c>
      <c r="FG172" s="2" t="s">
        <v>1421</v>
      </c>
      <c r="FH172" s="3" t="s">
        <v>2136</v>
      </c>
      <c r="FI172" s="197" t="s">
        <v>2875</v>
      </c>
      <c r="FJ172" s="504" t="s">
        <v>2184</v>
      </c>
      <c r="FK172" s="2" t="s">
        <v>1229</v>
      </c>
      <c r="FL172" s="2" t="s">
        <v>2917</v>
      </c>
      <c r="FM172" s="2" t="s">
        <v>1230</v>
      </c>
      <c r="FN172" s="3" t="s">
        <v>278</v>
      </c>
      <c r="FO172" s="197" t="s">
        <v>1560</v>
      </c>
      <c r="FP172" s="197" t="s">
        <v>2295</v>
      </c>
      <c r="FQ172" s="2" t="s">
        <v>2963</v>
      </c>
      <c r="FR172" s="2" t="s">
        <v>85</v>
      </c>
      <c r="FS172" s="2" t="s">
        <v>86</v>
      </c>
      <c r="FT172" s="3" t="s">
        <v>87</v>
      </c>
      <c r="FU172" s="197" t="s">
        <v>598</v>
      </c>
      <c r="FV172" s="197" t="s">
        <v>593</v>
      </c>
      <c r="FW172" s="2" t="s">
        <v>900</v>
      </c>
      <c r="FX172" s="2" t="s">
        <v>901</v>
      </c>
      <c r="FY172" s="2" t="s">
        <v>902</v>
      </c>
      <c r="FZ172" s="3" t="s">
        <v>903</v>
      </c>
      <c r="GA172" s="197" t="s">
        <v>2876</v>
      </c>
      <c r="GB172" s="197" t="s">
        <v>579</v>
      </c>
      <c r="GC172" s="7" t="s">
        <v>2918</v>
      </c>
      <c r="GD172" s="2" t="s">
        <v>2919</v>
      </c>
      <c r="GE172" s="2" t="s">
        <v>2920</v>
      </c>
      <c r="GF172" s="3" t="s">
        <v>2921</v>
      </c>
      <c r="GG172" s="197" t="s">
        <v>2877</v>
      </c>
      <c r="GH172" s="197" t="s">
        <v>579</v>
      </c>
      <c r="GI172" s="7" t="s">
        <v>2922</v>
      </c>
      <c r="GJ172" s="2" t="s">
        <v>2923</v>
      </c>
      <c r="GK172" s="2" t="s">
        <v>2924</v>
      </c>
      <c r="GL172" s="3" t="s">
        <v>2925</v>
      </c>
      <c r="GM172" s="197" t="s">
        <v>2878</v>
      </c>
      <c r="GN172" s="197" t="s">
        <v>17</v>
      </c>
      <c r="GO172" s="7" t="s">
        <v>2926</v>
      </c>
      <c r="GP172" s="2" t="s">
        <v>2927</v>
      </c>
      <c r="GQ172" s="2" t="s">
        <v>2928</v>
      </c>
      <c r="GR172" s="3" t="s">
        <v>2929</v>
      </c>
      <c r="GS172" s="197" t="s">
        <v>2879</v>
      </c>
      <c r="GT172" s="197" t="s">
        <v>4079</v>
      </c>
      <c r="GU172" s="7" t="s">
        <v>2930</v>
      </c>
      <c r="GV172" s="2" t="s">
        <v>2931</v>
      </c>
      <c r="GW172" s="2" t="s">
        <v>3555</v>
      </c>
      <c r="GX172" s="3" t="s">
        <v>2932</v>
      </c>
      <c r="GY172" s="197" t="s">
        <v>2880</v>
      </c>
      <c r="GZ172" s="197" t="s">
        <v>579</v>
      </c>
      <c r="HA172" s="7" t="s">
        <v>2933</v>
      </c>
      <c r="HB172" s="2" t="s">
        <v>2606</v>
      </c>
      <c r="HC172" s="2" t="s">
        <v>2934</v>
      </c>
      <c r="HD172" s="3" t="s">
        <v>2935</v>
      </c>
      <c r="HE172" s="197" t="s">
        <v>2881</v>
      </c>
      <c r="HF172" s="197" t="s">
        <v>4620</v>
      </c>
      <c r="HG172" s="7" t="s">
        <v>2936</v>
      </c>
      <c r="HH172" s="2" t="s">
        <v>182</v>
      </c>
      <c r="HI172" s="2" t="s">
        <v>2937</v>
      </c>
      <c r="HJ172" s="3" t="s">
        <v>2938</v>
      </c>
      <c r="HK172" s="197"/>
      <c r="HL172" s="197"/>
      <c r="HM172" s="7"/>
      <c r="HN172" s="2"/>
      <c r="HO172" s="2"/>
      <c r="HP172" s="3"/>
      <c r="HQ172" s="197"/>
      <c r="HR172" s="197"/>
      <c r="HS172" s="7"/>
      <c r="HT172" s="2"/>
      <c r="HU172" s="2"/>
      <c r="HV172" s="3"/>
      <c r="HW172" s="197"/>
      <c r="HX172" s="197"/>
      <c r="HY172" s="7"/>
      <c r="HZ172" s="2"/>
      <c r="IA172" s="2"/>
      <c r="IB172" s="3"/>
      <c r="IC172" s="197"/>
      <c r="ID172" s="197"/>
      <c r="IE172" s="7"/>
      <c r="IF172" s="2"/>
      <c r="IG172" s="2"/>
      <c r="IH172" s="3"/>
      <c r="II172" s="197"/>
      <c r="IJ172" s="197"/>
      <c r="IK172" s="7"/>
      <c r="IL172" s="2"/>
      <c r="IM172" s="2"/>
      <c r="IN172" s="3"/>
      <c r="IO172" s="197"/>
      <c r="IP172" s="197"/>
      <c r="IQ172" s="7"/>
      <c r="IR172" s="2"/>
      <c r="IS172" s="2"/>
      <c r="IT172" s="3"/>
    </row>
    <row r="173" spans="1:254" s="507" customFormat="1" ht="12.9" customHeight="1" x14ac:dyDescent="0.2">
      <c r="A173" s="505" t="str">
        <f>+'Past Quartets 1st - 3rd Place'!A183</f>
        <v>2014 P</v>
      </c>
      <c r="B173" s="503">
        <f>+'Past Quartets 1st - 3rd Place'!B183</f>
        <v>48</v>
      </c>
      <c r="C173" s="197" t="s">
        <v>2699</v>
      </c>
      <c r="D173" s="261" t="s">
        <v>1008</v>
      </c>
      <c r="E173" s="7" t="s">
        <v>2700</v>
      </c>
      <c r="F173" s="2" t="s">
        <v>2701</v>
      </c>
      <c r="G173" s="2" t="s">
        <v>2702</v>
      </c>
      <c r="H173" s="3" t="s">
        <v>2703</v>
      </c>
      <c r="I173" s="197" t="s">
        <v>2865</v>
      </c>
      <c r="J173" s="261" t="s">
        <v>4041</v>
      </c>
      <c r="K173" s="27" t="s">
        <v>2893</v>
      </c>
      <c r="L173" s="27" t="s">
        <v>2894</v>
      </c>
      <c r="M173" s="27" t="s">
        <v>2895</v>
      </c>
      <c r="N173" s="28" t="s">
        <v>2896</v>
      </c>
      <c r="O173" s="197" t="s">
        <v>3999</v>
      </c>
      <c r="P173" s="197" t="s">
        <v>2733</v>
      </c>
      <c r="Q173" s="7" t="s">
        <v>3527</v>
      </c>
      <c r="R173" s="2" t="s">
        <v>650</v>
      </c>
      <c r="S173" s="2" t="s">
        <v>1261</v>
      </c>
      <c r="T173" s="3" t="s">
        <v>3607</v>
      </c>
      <c r="U173" s="197" t="s">
        <v>956</v>
      </c>
      <c r="V173" s="245" t="s">
        <v>957</v>
      </c>
      <c r="W173" s="2" t="s">
        <v>917</v>
      </c>
      <c r="X173" s="2" t="s">
        <v>1291</v>
      </c>
      <c r="Y173" s="2" t="s">
        <v>958</v>
      </c>
      <c r="Z173" s="2" t="s">
        <v>959</v>
      </c>
      <c r="AA173" s="197" t="s">
        <v>915</v>
      </c>
      <c r="AB173" s="197" t="s">
        <v>593</v>
      </c>
      <c r="AC173" s="2" t="s">
        <v>940</v>
      </c>
      <c r="AD173" s="2" t="s">
        <v>941</v>
      </c>
      <c r="AE173" s="2" t="s">
        <v>942</v>
      </c>
      <c r="AF173" s="2" t="s">
        <v>943</v>
      </c>
      <c r="AG173" s="197" t="s">
        <v>933</v>
      </c>
      <c r="AH173" s="197" t="s">
        <v>730</v>
      </c>
      <c r="AI173" s="2" t="s">
        <v>2835</v>
      </c>
      <c r="AJ173" s="2" t="s">
        <v>2836</v>
      </c>
      <c r="AK173" s="2" t="s">
        <v>417</v>
      </c>
      <c r="AL173" s="3" t="s">
        <v>418</v>
      </c>
      <c r="AM173" s="197" t="s">
        <v>908</v>
      </c>
      <c r="AN173" s="197" t="s">
        <v>487</v>
      </c>
      <c r="AO173" s="7" t="s">
        <v>3081</v>
      </c>
      <c r="AP173" s="2" t="s">
        <v>3368</v>
      </c>
      <c r="AQ173" s="2" t="s">
        <v>2967</v>
      </c>
      <c r="AR173" s="3" t="s">
        <v>265</v>
      </c>
      <c r="AS173" s="197" t="s">
        <v>960</v>
      </c>
      <c r="AT173" s="197" t="s">
        <v>961</v>
      </c>
      <c r="AU173" s="7" t="s">
        <v>458</v>
      </c>
      <c r="AV173" s="2" t="s">
        <v>4080</v>
      </c>
      <c r="AW173" s="2" t="s">
        <v>2818</v>
      </c>
      <c r="AX173" s="3" t="s">
        <v>4083</v>
      </c>
      <c r="AY173" s="197" t="s">
        <v>962</v>
      </c>
      <c r="AZ173" s="261" t="s">
        <v>3062</v>
      </c>
      <c r="BA173" s="27" t="s">
        <v>963</v>
      </c>
      <c r="BB173" s="27" t="s">
        <v>3251</v>
      </c>
      <c r="BC173" s="27" t="s">
        <v>2941</v>
      </c>
      <c r="BD173" s="28" t="s">
        <v>434</v>
      </c>
      <c r="BE173" s="197" t="s">
        <v>909</v>
      </c>
      <c r="BF173" s="261" t="s">
        <v>4041</v>
      </c>
      <c r="BG173" s="27" t="s">
        <v>2497</v>
      </c>
      <c r="BH173" s="27" t="s">
        <v>2136</v>
      </c>
      <c r="BI173" s="27" t="s">
        <v>3256</v>
      </c>
      <c r="BJ173" s="28" t="s">
        <v>4045</v>
      </c>
      <c r="BK173" s="197" t="s">
        <v>964</v>
      </c>
      <c r="BL173" s="261" t="s">
        <v>965</v>
      </c>
      <c r="BM173" s="27" t="s">
        <v>2901</v>
      </c>
      <c r="BN173" s="27" t="s">
        <v>2332</v>
      </c>
      <c r="BO173" s="27" t="s">
        <v>3083</v>
      </c>
      <c r="BP173" s="28" t="s">
        <v>3607</v>
      </c>
      <c r="BQ173" s="197" t="s">
        <v>966</v>
      </c>
      <c r="BR173" s="197" t="s">
        <v>967</v>
      </c>
      <c r="BS173" s="2" t="s">
        <v>2328</v>
      </c>
      <c r="BT173" s="2" t="s">
        <v>446</v>
      </c>
      <c r="BU173" s="2" t="s">
        <v>445</v>
      </c>
      <c r="BV173" s="3" t="s">
        <v>3284</v>
      </c>
      <c r="BW173" s="197" t="s">
        <v>968</v>
      </c>
      <c r="BX173" s="504" t="s">
        <v>969</v>
      </c>
      <c r="BY173" s="2" t="s">
        <v>1259</v>
      </c>
      <c r="BZ173" s="2" t="s">
        <v>4080</v>
      </c>
      <c r="CA173" s="2" t="s">
        <v>808</v>
      </c>
      <c r="CB173" s="3" t="s">
        <v>66</v>
      </c>
      <c r="CC173" s="197" t="s">
        <v>2867</v>
      </c>
      <c r="CD173" s="197" t="s">
        <v>1310</v>
      </c>
      <c r="CE173" s="2" t="s">
        <v>1091</v>
      </c>
      <c r="CF173" s="2" t="s">
        <v>2903</v>
      </c>
      <c r="CG173" s="2" t="s">
        <v>1424</v>
      </c>
      <c r="CH173" s="2" t="s">
        <v>2904</v>
      </c>
      <c r="CI173" s="197" t="s">
        <v>970</v>
      </c>
      <c r="CJ173" s="197" t="s">
        <v>971</v>
      </c>
      <c r="CK173" s="2" t="s">
        <v>417</v>
      </c>
      <c r="CL173" s="2" t="s">
        <v>972</v>
      </c>
      <c r="CM173" s="2" t="s">
        <v>1639</v>
      </c>
      <c r="CN173" s="3" t="s">
        <v>973</v>
      </c>
      <c r="CO173" s="197" t="s">
        <v>974</v>
      </c>
      <c r="CP173" s="197" t="s">
        <v>4079</v>
      </c>
      <c r="CQ173" s="7" t="s">
        <v>2930</v>
      </c>
      <c r="CR173" s="2" t="s">
        <v>1969</v>
      </c>
      <c r="CS173" s="2" t="s">
        <v>3555</v>
      </c>
      <c r="CT173" s="3" t="s">
        <v>2932</v>
      </c>
      <c r="CU173" s="197" t="s">
        <v>975</v>
      </c>
      <c r="CV173" s="197" t="s">
        <v>905</v>
      </c>
      <c r="CW173" s="2" t="s">
        <v>3431</v>
      </c>
      <c r="CX173" s="2" t="s">
        <v>2950</v>
      </c>
      <c r="CY173" s="2" t="s">
        <v>2905</v>
      </c>
      <c r="CZ173" s="3" t="s">
        <v>2906</v>
      </c>
      <c r="DA173" s="197" t="s">
        <v>911</v>
      </c>
      <c r="DB173" s="197" t="s">
        <v>579</v>
      </c>
      <c r="DC173" s="2" t="s">
        <v>912</v>
      </c>
      <c r="DD173" s="2" t="s">
        <v>1831</v>
      </c>
      <c r="DE173" s="2" t="s">
        <v>485</v>
      </c>
      <c r="DF173" s="3" t="s">
        <v>2921</v>
      </c>
      <c r="DG173" s="197" t="s">
        <v>1191</v>
      </c>
      <c r="DH173" s="197" t="s">
        <v>913</v>
      </c>
      <c r="DI173" s="2" t="s">
        <v>3284</v>
      </c>
      <c r="DJ173" s="2" t="s">
        <v>3707</v>
      </c>
      <c r="DK173" s="2" t="s">
        <v>2577</v>
      </c>
      <c r="DL173" s="3" t="s">
        <v>914</v>
      </c>
      <c r="DM173" s="197" t="s">
        <v>916</v>
      </c>
      <c r="DN173" s="261" t="s">
        <v>4041</v>
      </c>
      <c r="DO173" s="27" t="s">
        <v>917</v>
      </c>
      <c r="DP173" s="27" t="s">
        <v>1291</v>
      </c>
      <c r="DQ173" s="27" t="s">
        <v>918</v>
      </c>
      <c r="DR173" s="28" t="s">
        <v>81</v>
      </c>
      <c r="DS173" s="197" t="s">
        <v>598</v>
      </c>
      <c r="DT173" s="197" t="s">
        <v>593</v>
      </c>
      <c r="DU173" s="2" t="s">
        <v>900</v>
      </c>
      <c r="DV173" s="2" t="s">
        <v>901</v>
      </c>
      <c r="DW173" s="2" t="s">
        <v>902</v>
      </c>
      <c r="DX173" s="3" t="s">
        <v>903</v>
      </c>
      <c r="DY173" s="197" t="s">
        <v>976</v>
      </c>
      <c r="DZ173" s="197" t="s">
        <v>3478</v>
      </c>
      <c r="EA173" s="7" t="s">
        <v>2497</v>
      </c>
      <c r="EB173" s="2" t="s">
        <v>3985</v>
      </c>
      <c r="EC173" s="2" t="s">
        <v>3045</v>
      </c>
      <c r="ED173" s="3" t="s">
        <v>50</v>
      </c>
      <c r="EE173" s="197" t="s">
        <v>1550</v>
      </c>
      <c r="EF173" s="504" t="s">
        <v>977</v>
      </c>
      <c r="EG173" s="2" t="s">
        <v>597</v>
      </c>
      <c r="EH173" s="2" t="s">
        <v>1256</v>
      </c>
      <c r="EI173" s="2" t="s">
        <v>2830</v>
      </c>
      <c r="EJ173" s="3" t="s">
        <v>2970</v>
      </c>
      <c r="EK173" s="197" t="s">
        <v>2862</v>
      </c>
      <c r="EL173" s="245" t="s">
        <v>487</v>
      </c>
      <c r="EM173" s="2" t="s">
        <v>2886</v>
      </c>
      <c r="EN173" s="2" t="s">
        <v>1252</v>
      </c>
      <c r="EO173" s="2" t="s">
        <v>2412</v>
      </c>
      <c r="EP173" s="3" t="s">
        <v>3368</v>
      </c>
      <c r="EQ173" s="197" t="s">
        <v>2873</v>
      </c>
      <c r="ER173" s="197" t="s">
        <v>3635</v>
      </c>
      <c r="ES173" s="7" t="s">
        <v>2913</v>
      </c>
      <c r="ET173" s="2" t="s">
        <v>934</v>
      </c>
      <c r="EU173" s="2" t="s">
        <v>2915</v>
      </c>
      <c r="EV173" s="3" t="s">
        <v>935</v>
      </c>
      <c r="EW173" s="197" t="s">
        <v>937</v>
      </c>
      <c r="EX173" s="504" t="s">
        <v>3635</v>
      </c>
      <c r="EY173" s="2" t="s">
        <v>938</v>
      </c>
      <c r="EZ173" s="2" t="s">
        <v>4014</v>
      </c>
      <c r="FA173" s="2" t="s">
        <v>939</v>
      </c>
      <c r="FB173" s="3" t="s">
        <v>935</v>
      </c>
      <c r="FC173" s="197" t="s">
        <v>936</v>
      </c>
      <c r="FD173" s="504" t="s">
        <v>593</v>
      </c>
      <c r="FE173" s="419" t="s">
        <v>1062</v>
      </c>
      <c r="FF173" s="419" t="s">
        <v>1063</v>
      </c>
      <c r="FG173" s="419" t="s">
        <v>1065</v>
      </c>
      <c r="FH173" s="479" t="s">
        <v>1064</v>
      </c>
      <c r="FI173" s="197" t="s">
        <v>978</v>
      </c>
      <c r="FJ173" s="504" t="s">
        <v>517</v>
      </c>
      <c r="FK173" s="2" t="s">
        <v>979</v>
      </c>
      <c r="FL173" s="2" t="s">
        <v>980</v>
      </c>
      <c r="FM173" s="2" t="s">
        <v>981</v>
      </c>
      <c r="FN173" s="3" t="s">
        <v>483</v>
      </c>
      <c r="FO173" s="197" t="s">
        <v>920</v>
      </c>
      <c r="FP173" s="504" t="s">
        <v>517</v>
      </c>
      <c r="FQ173" s="2" t="s">
        <v>921</v>
      </c>
      <c r="FR173" s="2" t="s">
        <v>922</v>
      </c>
      <c r="FS173" s="2" t="s">
        <v>923</v>
      </c>
      <c r="FT173" s="3" t="s">
        <v>924</v>
      </c>
      <c r="FU173" s="197" t="s">
        <v>2525</v>
      </c>
      <c r="FV173" s="197" t="s">
        <v>148</v>
      </c>
      <c r="FW173" s="2" t="s">
        <v>2527</v>
      </c>
      <c r="FX173" s="2" t="s">
        <v>2528</v>
      </c>
      <c r="FY173" s="2" t="s">
        <v>2530</v>
      </c>
      <c r="FZ173" s="3" t="s">
        <v>1502</v>
      </c>
      <c r="GA173" s="197" t="s">
        <v>925</v>
      </c>
      <c r="GB173" s="504" t="s">
        <v>1006</v>
      </c>
      <c r="GC173" s="2" t="s">
        <v>2893</v>
      </c>
      <c r="GD173" s="2" t="s">
        <v>83</v>
      </c>
      <c r="GE173" s="2" t="s">
        <v>927</v>
      </c>
      <c r="GF173" s="3" t="s">
        <v>2896</v>
      </c>
      <c r="GG173" s="197" t="s">
        <v>2875</v>
      </c>
      <c r="GH173" s="197" t="s">
        <v>2184</v>
      </c>
      <c r="GI173" s="7" t="s">
        <v>4182</v>
      </c>
      <c r="GJ173" s="2" t="s">
        <v>2917</v>
      </c>
      <c r="GK173" s="2" t="s">
        <v>1230</v>
      </c>
      <c r="GL173" s="3" t="s">
        <v>278</v>
      </c>
      <c r="GM173" s="197" t="s">
        <v>928</v>
      </c>
      <c r="GN173" s="504" t="s">
        <v>1005</v>
      </c>
      <c r="GO173" s="2" t="s">
        <v>917</v>
      </c>
      <c r="GP173" s="2" t="s">
        <v>930</v>
      </c>
      <c r="GQ173" s="2" t="s">
        <v>931</v>
      </c>
      <c r="GR173" s="3" t="s">
        <v>932</v>
      </c>
      <c r="GS173" s="197" t="s">
        <v>982</v>
      </c>
      <c r="GT173" s="197" t="s">
        <v>983</v>
      </c>
      <c r="GU173" s="7" t="s">
        <v>984</v>
      </c>
      <c r="GV173" s="2" t="s">
        <v>3971</v>
      </c>
      <c r="GW173" s="2" t="s">
        <v>1271</v>
      </c>
      <c r="GX173" s="3" t="s">
        <v>1267</v>
      </c>
      <c r="GY173" s="197" t="s">
        <v>2869</v>
      </c>
      <c r="GZ173" s="197" t="s">
        <v>985</v>
      </c>
      <c r="HA173" s="7" t="s">
        <v>1536</v>
      </c>
      <c r="HB173" s="2" t="s">
        <v>1518</v>
      </c>
      <c r="HC173" s="2" t="s">
        <v>1537</v>
      </c>
      <c r="HD173" s="3" t="s">
        <v>1538</v>
      </c>
      <c r="HE173" s="197" t="s">
        <v>73</v>
      </c>
      <c r="HF173" s="197" t="s">
        <v>2662</v>
      </c>
      <c r="HG173" s="7" t="s">
        <v>3069</v>
      </c>
      <c r="HH173" s="2" t="s">
        <v>75</v>
      </c>
      <c r="HI173" s="2" t="s">
        <v>74</v>
      </c>
      <c r="HJ173" s="3" t="s">
        <v>986</v>
      </c>
      <c r="HK173" s="197" t="s">
        <v>987</v>
      </c>
      <c r="HL173" s="197" t="s">
        <v>517</v>
      </c>
      <c r="HM173" s="7" t="s">
        <v>698</v>
      </c>
      <c r="HN173" s="2" t="s">
        <v>988</v>
      </c>
      <c r="HO173" s="2" t="s">
        <v>989</v>
      </c>
      <c r="HP173" s="3" t="s">
        <v>990</v>
      </c>
      <c r="HQ173" s="197" t="s">
        <v>1193</v>
      </c>
      <c r="HR173" s="197" t="s">
        <v>991</v>
      </c>
      <c r="HS173" s="7" t="s">
        <v>2909</v>
      </c>
      <c r="HT173" s="2" t="s">
        <v>2911</v>
      </c>
      <c r="HU173" s="2" t="s">
        <v>3043</v>
      </c>
      <c r="HV173" s="3" t="s">
        <v>992</v>
      </c>
      <c r="HW173" s="197" t="s">
        <v>88</v>
      </c>
      <c r="HX173" s="197" t="s">
        <v>4041</v>
      </c>
      <c r="HY173" s="7" t="s">
        <v>63</v>
      </c>
      <c r="HZ173" s="2" t="s">
        <v>89</v>
      </c>
      <c r="IA173" s="2" t="s">
        <v>90</v>
      </c>
      <c r="IB173" s="3" t="s">
        <v>993</v>
      </c>
      <c r="IC173" s="197" t="s">
        <v>994</v>
      </c>
      <c r="ID173" s="197" t="s">
        <v>995</v>
      </c>
      <c r="IE173" s="7" t="s">
        <v>996</v>
      </c>
      <c r="IF173" s="2" t="s">
        <v>997</v>
      </c>
      <c r="IG173" s="2" t="s">
        <v>1533</v>
      </c>
      <c r="IH173" s="3" t="s">
        <v>998</v>
      </c>
      <c r="II173" s="197" t="s">
        <v>999</v>
      </c>
      <c r="IJ173" s="197" t="s">
        <v>579</v>
      </c>
      <c r="IK173" s="7" t="s">
        <v>912</v>
      </c>
      <c r="IL173" s="2" t="s">
        <v>1831</v>
      </c>
      <c r="IM173" s="2" t="s">
        <v>485</v>
      </c>
      <c r="IN173" s="3" t="s">
        <v>2921</v>
      </c>
      <c r="IO173" s="197" t="s">
        <v>1000</v>
      </c>
      <c r="IP173" s="197" t="s">
        <v>593</v>
      </c>
      <c r="IQ173" s="7" t="s">
        <v>1001</v>
      </c>
      <c r="IR173" s="2" t="s">
        <v>1002</v>
      </c>
      <c r="IS173" s="2" t="s">
        <v>1003</v>
      </c>
      <c r="IT173" s="3" t="s">
        <v>1004</v>
      </c>
    </row>
    <row r="174" spans="1:254" s="507" customFormat="1" ht="12.9" customHeight="1" x14ac:dyDescent="0.2">
      <c r="A174" s="505" t="str">
        <f>+'Past Quartets 1st - 3rd Place'!A184</f>
        <v>2015 P</v>
      </c>
      <c r="B174" s="503">
        <f>+'Past Quartets 1st - 3rd Place'!B184</f>
        <v>29</v>
      </c>
      <c r="C174" s="197" t="s">
        <v>908</v>
      </c>
      <c r="D174" s="261" t="s">
        <v>487</v>
      </c>
      <c r="E174" s="7" t="s">
        <v>3081</v>
      </c>
      <c r="F174" s="2" t="s">
        <v>3368</v>
      </c>
      <c r="G174" s="2" t="s">
        <v>3367</v>
      </c>
      <c r="H174" s="3" t="s">
        <v>265</v>
      </c>
      <c r="I174" s="197" t="s">
        <v>1089</v>
      </c>
      <c r="J174" s="261" t="s">
        <v>4079</v>
      </c>
      <c r="K174" s="27" t="s">
        <v>1228</v>
      </c>
      <c r="L174" s="27" t="s">
        <v>4081</v>
      </c>
      <c r="M174" s="27" t="s">
        <v>3088</v>
      </c>
      <c r="N174" s="28" t="s">
        <v>3555</v>
      </c>
      <c r="O174" s="197" t="s">
        <v>3999</v>
      </c>
      <c r="P174" s="197" t="s">
        <v>2733</v>
      </c>
      <c r="Q174" s="7" t="s">
        <v>3527</v>
      </c>
      <c r="R174" s="2" t="s">
        <v>650</v>
      </c>
      <c r="S174" s="2" t="s">
        <v>1261</v>
      </c>
      <c r="T174" s="3" t="s">
        <v>3607</v>
      </c>
      <c r="U174" s="197" t="s">
        <v>2867</v>
      </c>
      <c r="V174" s="245" t="s">
        <v>1090</v>
      </c>
      <c r="W174" s="2" t="s">
        <v>1091</v>
      </c>
      <c r="X174" s="2" t="s">
        <v>2903</v>
      </c>
      <c r="Y174" s="2" t="s">
        <v>1424</v>
      </c>
      <c r="Z174" s="2" t="s">
        <v>2904</v>
      </c>
      <c r="AA174" s="197" t="s">
        <v>1092</v>
      </c>
      <c r="AB174" s="197" t="s">
        <v>1095</v>
      </c>
      <c r="AC174" s="2" t="s">
        <v>1093</v>
      </c>
      <c r="AD174" s="2" t="s">
        <v>1291</v>
      </c>
      <c r="AE174" s="2" t="s">
        <v>1094</v>
      </c>
      <c r="AF174" s="2" t="s">
        <v>81</v>
      </c>
      <c r="AG174" s="197" t="s">
        <v>987</v>
      </c>
      <c r="AH174" s="197" t="s">
        <v>517</v>
      </c>
      <c r="AI174" s="2" t="s">
        <v>921</v>
      </c>
      <c r="AJ174" s="2" t="s">
        <v>2767</v>
      </c>
      <c r="AK174" s="2" t="s">
        <v>989</v>
      </c>
      <c r="AL174" s="3" t="s">
        <v>990</v>
      </c>
      <c r="AM174" s="197" t="s">
        <v>4818</v>
      </c>
      <c r="AN174" s="261" t="s">
        <v>965</v>
      </c>
      <c r="AO174" s="27" t="s">
        <v>2901</v>
      </c>
      <c r="AP174" s="27" t="s">
        <v>2332</v>
      </c>
      <c r="AQ174" s="27" t="s">
        <v>3083</v>
      </c>
      <c r="AR174" s="28" t="s">
        <v>3607</v>
      </c>
      <c r="AS174" s="197" t="s">
        <v>1096</v>
      </c>
      <c r="AT174" s="197" t="s">
        <v>2011</v>
      </c>
      <c r="AU174" s="7" t="s">
        <v>2887</v>
      </c>
      <c r="AV174" s="2" t="s">
        <v>1097</v>
      </c>
      <c r="AW174" s="2" t="s">
        <v>1639</v>
      </c>
      <c r="AX174" s="3" t="s">
        <v>1098</v>
      </c>
      <c r="AY174" s="197" t="s">
        <v>1099</v>
      </c>
      <c r="AZ174" s="261" t="s">
        <v>1100</v>
      </c>
      <c r="BA174" s="27" t="s">
        <v>2331</v>
      </c>
      <c r="BB174" s="27" t="s">
        <v>1101</v>
      </c>
      <c r="BC174" s="27" t="s">
        <v>74</v>
      </c>
      <c r="BD174" s="28" t="s">
        <v>1102</v>
      </c>
      <c r="BE174" s="197" t="s">
        <v>968</v>
      </c>
      <c r="BF174" s="504" t="s">
        <v>969</v>
      </c>
      <c r="BG174" s="2" t="s">
        <v>1259</v>
      </c>
      <c r="BH174" s="2" t="s">
        <v>4080</v>
      </c>
      <c r="BI174" s="2" t="s">
        <v>808</v>
      </c>
      <c r="BJ174" s="3" t="s">
        <v>66</v>
      </c>
      <c r="BK174" s="197" t="s">
        <v>1103</v>
      </c>
      <c r="BL174" s="261" t="s">
        <v>1104</v>
      </c>
      <c r="BM174" s="27" t="s">
        <v>1105</v>
      </c>
      <c r="BN174" s="27" t="s">
        <v>1106</v>
      </c>
      <c r="BO174" s="27" t="s">
        <v>1107</v>
      </c>
      <c r="BP174" s="28" t="s">
        <v>1108</v>
      </c>
      <c r="BQ174" s="197" t="s">
        <v>911</v>
      </c>
      <c r="BR174" s="197" t="s">
        <v>579</v>
      </c>
      <c r="BS174" s="2" t="s">
        <v>912</v>
      </c>
      <c r="BT174" s="2" t="s">
        <v>1831</v>
      </c>
      <c r="BU174" s="2" t="s">
        <v>485</v>
      </c>
      <c r="BV174" s="3" t="s">
        <v>2921</v>
      </c>
      <c r="BW174" s="197" t="s">
        <v>2868</v>
      </c>
      <c r="BX174" s="197" t="s">
        <v>1109</v>
      </c>
      <c r="BY174" s="2" t="s">
        <v>3431</v>
      </c>
      <c r="BZ174" s="2" t="s">
        <v>2950</v>
      </c>
      <c r="CA174" s="2" t="s">
        <v>2905</v>
      </c>
      <c r="CB174" s="3" t="s">
        <v>2906</v>
      </c>
      <c r="CC174" s="197" t="s">
        <v>1110</v>
      </c>
      <c r="CD174" s="197" t="s">
        <v>1111</v>
      </c>
      <c r="CE174" s="2" t="s">
        <v>2930</v>
      </c>
      <c r="CF174" s="2" t="s">
        <v>3984</v>
      </c>
      <c r="CG174" s="2" t="s">
        <v>1098</v>
      </c>
      <c r="CH174" s="2" t="s">
        <v>2932</v>
      </c>
      <c r="CI174" s="197" t="s">
        <v>1550</v>
      </c>
      <c r="CJ174" s="504" t="s">
        <v>1112</v>
      </c>
      <c r="CK174" s="2" t="s">
        <v>597</v>
      </c>
      <c r="CL174" s="2" t="s">
        <v>1256</v>
      </c>
      <c r="CM174" s="2" t="s">
        <v>2830</v>
      </c>
      <c r="CN174" s="3" t="s">
        <v>2970</v>
      </c>
      <c r="CO174" s="197" t="s">
        <v>937</v>
      </c>
      <c r="CP174" s="504" t="s">
        <v>3635</v>
      </c>
      <c r="CQ174" s="2" t="s">
        <v>938</v>
      </c>
      <c r="CR174" s="2" t="s">
        <v>1834</v>
      </c>
      <c r="CS174" s="2" t="s">
        <v>939</v>
      </c>
      <c r="CT174" s="3" t="s">
        <v>935</v>
      </c>
      <c r="CU174" s="197" t="s">
        <v>2873</v>
      </c>
      <c r="CV174" s="197" t="s">
        <v>3635</v>
      </c>
      <c r="CW174" s="7" t="s">
        <v>2913</v>
      </c>
      <c r="CX174" s="2" t="s">
        <v>934</v>
      </c>
      <c r="CY174" s="2" t="s">
        <v>2915</v>
      </c>
      <c r="CZ174" s="3" t="s">
        <v>822</v>
      </c>
      <c r="DA174" s="197" t="s">
        <v>1114</v>
      </c>
      <c r="DB174" s="197" t="s">
        <v>1113</v>
      </c>
      <c r="DC174" s="2" t="s">
        <v>1115</v>
      </c>
      <c r="DD174" s="2" t="s">
        <v>1116</v>
      </c>
      <c r="DE174" s="2" t="s">
        <v>1117</v>
      </c>
      <c r="DF174" s="3" t="s">
        <v>1118</v>
      </c>
      <c r="DG174" s="197" t="s">
        <v>1119</v>
      </c>
      <c r="DH174" s="197" t="s">
        <v>4041</v>
      </c>
      <c r="DI174" s="2" t="s">
        <v>2497</v>
      </c>
      <c r="DJ174" s="2" t="s">
        <v>50</v>
      </c>
      <c r="DK174" s="2" t="s">
        <v>1120</v>
      </c>
      <c r="DL174" s="3" t="s">
        <v>1121</v>
      </c>
      <c r="DM174" s="197" t="s">
        <v>1122</v>
      </c>
      <c r="DN174" s="261" t="s">
        <v>1123</v>
      </c>
      <c r="DO174" s="27" t="s">
        <v>1124</v>
      </c>
      <c r="DP174" s="27" t="s">
        <v>1125</v>
      </c>
      <c r="DQ174" s="27" t="s">
        <v>1126</v>
      </c>
      <c r="DR174" s="28" t="s">
        <v>1127</v>
      </c>
      <c r="DS174" s="197" t="s">
        <v>1128</v>
      </c>
      <c r="DT174" s="197" t="s">
        <v>1129</v>
      </c>
      <c r="DU174" s="2" t="s">
        <v>1130</v>
      </c>
      <c r="DV174" s="2" t="s">
        <v>1131</v>
      </c>
      <c r="DW174" s="2" t="s">
        <v>1132</v>
      </c>
      <c r="DX174" s="3" t="s">
        <v>1133</v>
      </c>
      <c r="DY174" s="197" t="s">
        <v>1134</v>
      </c>
      <c r="DZ174" s="197" t="s">
        <v>1135</v>
      </c>
      <c r="EA174" s="7" t="s">
        <v>3989</v>
      </c>
      <c r="EB174" s="2" t="s">
        <v>1136</v>
      </c>
      <c r="EC174" s="2" t="s">
        <v>2946</v>
      </c>
      <c r="ED174" s="3" t="s">
        <v>2926</v>
      </c>
      <c r="EE174" s="197" t="s">
        <v>1137</v>
      </c>
      <c r="EF174" s="504" t="s">
        <v>3054</v>
      </c>
      <c r="EG174" s="2" t="s">
        <v>1138</v>
      </c>
      <c r="EH174" s="2" t="s">
        <v>1139</v>
      </c>
      <c r="EI174" s="2" t="s">
        <v>1140</v>
      </c>
      <c r="EJ174" s="3" t="s">
        <v>1141</v>
      </c>
      <c r="EK174" s="197"/>
      <c r="EL174" s="245"/>
      <c r="EM174" s="2"/>
      <c r="EN174" s="2"/>
      <c r="EO174" s="2"/>
      <c r="EP174" s="3"/>
      <c r="EQ174" s="197"/>
      <c r="ER174" s="197"/>
      <c r="ES174" s="7"/>
      <c r="ET174" s="2"/>
      <c r="EU174" s="2"/>
      <c r="EV174" s="3"/>
      <c r="EW174" s="197"/>
      <c r="EX174" s="504"/>
      <c r="EY174" s="2"/>
      <c r="EZ174" s="2"/>
      <c r="FA174" s="2"/>
      <c r="FB174" s="3"/>
      <c r="FC174" s="197"/>
      <c r="FD174" s="467"/>
      <c r="FE174" s="419"/>
      <c r="FF174" s="419"/>
      <c r="FG174" s="419"/>
      <c r="FH174" s="479"/>
      <c r="FI174" s="197"/>
      <c r="FJ174" s="504"/>
      <c r="FK174" s="2"/>
      <c r="FL174" s="2"/>
      <c r="FM174" s="2"/>
      <c r="FN174" s="3"/>
      <c r="FO174" s="197"/>
      <c r="FP174" s="504"/>
      <c r="FQ174" s="2"/>
      <c r="FR174" s="2"/>
      <c r="FS174" s="2"/>
      <c r="FT174" s="3"/>
      <c r="FU174" s="197"/>
      <c r="FV174" s="197"/>
      <c r="FW174" s="2"/>
      <c r="FX174" s="2"/>
      <c r="FY174" s="2"/>
      <c r="FZ174" s="3"/>
      <c r="GA174" s="197"/>
      <c r="GB174" s="504"/>
      <c r="GC174" s="2"/>
      <c r="GD174" s="2"/>
      <c r="GE174" s="2"/>
      <c r="GF174" s="3"/>
      <c r="GG174" s="197"/>
      <c r="GH174" s="197"/>
      <c r="GI174" s="7"/>
      <c r="GJ174" s="2"/>
      <c r="GK174" s="2"/>
      <c r="GL174" s="3"/>
      <c r="GM174" s="197"/>
      <c r="GN174" s="504"/>
      <c r="GO174" s="2"/>
      <c r="GP174" s="2"/>
      <c r="GQ174" s="2"/>
      <c r="GR174" s="3"/>
      <c r="GS174" s="197"/>
      <c r="GT174" s="197"/>
      <c r="GU174" s="7"/>
      <c r="GV174" s="2"/>
      <c r="GW174" s="2"/>
      <c r="GX174" s="3"/>
      <c r="GY174" s="197"/>
      <c r="GZ174" s="197"/>
      <c r="HA174" s="7"/>
      <c r="HB174" s="2"/>
      <c r="HC174" s="2"/>
      <c r="HD174" s="3"/>
      <c r="HE174" s="197"/>
      <c r="HF174" s="197"/>
      <c r="HG174" s="7"/>
      <c r="HH174" s="2"/>
      <c r="HI174" s="2"/>
      <c r="HJ174" s="3"/>
      <c r="HK174" s="197"/>
      <c r="HL174" s="197"/>
      <c r="HM174" s="7"/>
      <c r="HN174" s="2"/>
      <c r="HO174" s="2"/>
      <c r="HP174" s="3"/>
      <c r="HQ174" s="197"/>
      <c r="HR174" s="197"/>
      <c r="HS174" s="7"/>
      <c r="HT174" s="2"/>
      <c r="HU174" s="2"/>
      <c r="HV174" s="3"/>
      <c r="HW174" s="197"/>
      <c r="HX174" s="197"/>
      <c r="HY174" s="7"/>
      <c r="HZ174" s="2"/>
      <c r="IA174" s="2"/>
      <c r="IB174" s="3"/>
      <c r="IC174" s="197"/>
      <c r="ID174" s="197"/>
      <c r="IE174" s="7"/>
      <c r="IF174" s="2"/>
      <c r="IG174" s="2"/>
      <c r="IH174" s="3"/>
      <c r="II174" s="197"/>
      <c r="IJ174" s="197"/>
      <c r="IK174" s="7"/>
      <c r="IL174" s="2"/>
      <c r="IM174" s="2"/>
      <c r="IN174" s="3"/>
      <c r="IO174" s="197"/>
      <c r="IP174" s="197"/>
      <c r="IQ174" s="7"/>
      <c r="IR174" s="2"/>
      <c r="IS174" s="2"/>
      <c r="IT174" s="3"/>
    </row>
    <row r="175" spans="1:254" s="507" customFormat="1" ht="12.9" customHeight="1" x14ac:dyDescent="0.2">
      <c r="A175" s="505" t="str">
        <f>+'Past Quartets 1st - 3rd Place'!A185</f>
        <v>2016 P</v>
      </c>
      <c r="B175" s="503">
        <f>+'Past Quartets 1st - 3rd Place'!B185</f>
        <v>38</v>
      </c>
      <c r="C175" s="197" t="s">
        <v>987</v>
      </c>
      <c r="D175" s="197" t="s">
        <v>517</v>
      </c>
      <c r="E175" s="2" t="s">
        <v>698</v>
      </c>
      <c r="F175" s="2" t="s">
        <v>990</v>
      </c>
      <c r="G175" s="2" t="s">
        <v>989</v>
      </c>
      <c r="H175" s="2" t="s">
        <v>2767</v>
      </c>
      <c r="I175" s="197" t="s">
        <v>951</v>
      </c>
      <c r="J175" s="197" t="s">
        <v>4395</v>
      </c>
      <c r="K175" s="2" t="s">
        <v>1427</v>
      </c>
      <c r="L175" s="2" t="s">
        <v>173</v>
      </c>
      <c r="M175" s="2" t="s">
        <v>457</v>
      </c>
      <c r="N175" s="3" t="s">
        <v>252</v>
      </c>
      <c r="O175" s="197" t="s">
        <v>1092</v>
      </c>
      <c r="P175" s="197" t="s">
        <v>1095</v>
      </c>
      <c r="Q175" s="2" t="s">
        <v>1093</v>
      </c>
      <c r="R175" s="2" t="s">
        <v>1291</v>
      </c>
      <c r="S175" s="2" t="s">
        <v>1094</v>
      </c>
      <c r="T175" s="3" t="s">
        <v>81</v>
      </c>
      <c r="U175" s="197" t="s">
        <v>4465</v>
      </c>
      <c r="V175" s="245" t="s">
        <v>4396</v>
      </c>
      <c r="W175" s="2" t="s">
        <v>4333</v>
      </c>
      <c r="X175" s="2" t="s">
        <v>4334</v>
      </c>
      <c r="Y175" s="2" t="s">
        <v>4335</v>
      </c>
      <c r="Z175" s="2" t="s">
        <v>4336</v>
      </c>
      <c r="AA175" s="197" t="s">
        <v>1143</v>
      </c>
      <c r="AB175" s="197" t="s">
        <v>4397</v>
      </c>
      <c r="AC175" s="2" t="s">
        <v>1144</v>
      </c>
      <c r="AD175" s="2" t="s">
        <v>1145</v>
      </c>
      <c r="AE175" s="2" t="s">
        <v>1146</v>
      </c>
      <c r="AF175" s="2" t="s">
        <v>4337</v>
      </c>
      <c r="AG175" s="197" t="s">
        <v>4338</v>
      </c>
      <c r="AH175" s="197" t="s">
        <v>4528</v>
      </c>
      <c r="AI175" s="2" t="s">
        <v>2949</v>
      </c>
      <c r="AJ175" s="2" t="s">
        <v>1101</v>
      </c>
      <c r="AK175" s="2" t="s">
        <v>2941</v>
      </c>
      <c r="AL175" s="3" t="s">
        <v>4083</v>
      </c>
      <c r="AM175" s="197" t="s">
        <v>908</v>
      </c>
      <c r="AN175" s="261" t="s">
        <v>487</v>
      </c>
      <c r="AO175" s="7" t="s">
        <v>3081</v>
      </c>
      <c r="AP175" s="2" t="s">
        <v>3368</v>
      </c>
      <c r="AQ175" s="2" t="s">
        <v>3367</v>
      </c>
      <c r="AR175" s="3" t="s">
        <v>2746</v>
      </c>
      <c r="AS175" s="197" t="s">
        <v>1103</v>
      </c>
      <c r="AT175" s="261" t="s">
        <v>1104</v>
      </c>
      <c r="AU175" s="27" t="s">
        <v>1105</v>
      </c>
      <c r="AV175" s="27" t="s">
        <v>1106</v>
      </c>
      <c r="AW175" s="27" t="s">
        <v>1107</v>
      </c>
      <c r="AX175" s="28" t="s">
        <v>1108</v>
      </c>
      <c r="AY175" s="197" t="s">
        <v>1089</v>
      </c>
      <c r="AZ175" s="261" t="s">
        <v>4079</v>
      </c>
      <c r="BA175" s="27" t="s">
        <v>1228</v>
      </c>
      <c r="BB175" s="27" t="s">
        <v>4081</v>
      </c>
      <c r="BC175" s="27" t="s">
        <v>3088</v>
      </c>
      <c r="BD175" s="28" t="s">
        <v>3555</v>
      </c>
      <c r="BE175" s="197" t="s">
        <v>69</v>
      </c>
      <c r="BF175" s="504" t="s">
        <v>817</v>
      </c>
      <c r="BG175" s="2" t="s">
        <v>70</v>
      </c>
      <c r="BH175" s="2" t="s">
        <v>4339</v>
      </c>
      <c r="BI175" s="2" t="s">
        <v>2587</v>
      </c>
      <c r="BJ175" s="3" t="s">
        <v>4340</v>
      </c>
      <c r="BK175" s="197" t="s">
        <v>4518</v>
      </c>
      <c r="BL175" s="261" t="s">
        <v>4079</v>
      </c>
      <c r="BM175" s="27" t="s">
        <v>2835</v>
      </c>
      <c r="BN175" s="27" t="s">
        <v>3081</v>
      </c>
      <c r="BO175" s="27" t="s">
        <v>417</v>
      </c>
      <c r="BP175" s="28" t="s">
        <v>418</v>
      </c>
      <c r="BQ175" s="197" t="s">
        <v>4518</v>
      </c>
      <c r="BR175" s="261" t="s">
        <v>4079</v>
      </c>
      <c r="BS175" s="27" t="s">
        <v>2835</v>
      </c>
      <c r="BT175" s="27" t="s">
        <v>3081</v>
      </c>
      <c r="BU175" s="27" t="s">
        <v>417</v>
      </c>
      <c r="BV175" s="28" t="s">
        <v>418</v>
      </c>
      <c r="BW175" s="197" t="s">
        <v>4342</v>
      </c>
      <c r="BX175" s="197" t="s">
        <v>3826</v>
      </c>
      <c r="BY175" s="2" t="s">
        <v>2901</v>
      </c>
      <c r="BZ175" s="2" t="s">
        <v>2332</v>
      </c>
      <c r="CA175" s="2" t="s">
        <v>3083</v>
      </c>
      <c r="CB175" s="3" t="s">
        <v>66</v>
      </c>
      <c r="CC175" s="197" t="s">
        <v>2868</v>
      </c>
      <c r="CD175" s="197" t="s">
        <v>1109</v>
      </c>
      <c r="CE175" s="2" t="s">
        <v>3431</v>
      </c>
      <c r="CF175" s="2" t="s">
        <v>2950</v>
      </c>
      <c r="CG175" s="2" t="s">
        <v>2905</v>
      </c>
      <c r="CH175" s="3" t="s">
        <v>2906</v>
      </c>
      <c r="CI175" s="197" t="s">
        <v>4343</v>
      </c>
      <c r="CJ175" s="504" t="s">
        <v>3580</v>
      </c>
      <c r="CK175" s="2" t="s">
        <v>4344</v>
      </c>
      <c r="CL175" s="2" t="s">
        <v>1835</v>
      </c>
      <c r="CM175" s="2" t="s">
        <v>824</v>
      </c>
      <c r="CN175" s="3" t="s">
        <v>825</v>
      </c>
      <c r="CO175" s="197" t="s">
        <v>909</v>
      </c>
      <c r="CP175" s="261" t="s">
        <v>4041</v>
      </c>
      <c r="CQ175" s="27" t="s">
        <v>2497</v>
      </c>
      <c r="CR175" s="27" t="s">
        <v>2136</v>
      </c>
      <c r="CS175" s="27" t="s">
        <v>3256</v>
      </c>
      <c r="CT175" s="28" t="s">
        <v>4045</v>
      </c>
      <c r="CU175" s="197" t="s">
        <v>4345</v>
      </c>
      <c r="CV175" s="197" t="s">
        <v>1310</v>
      </c>
      <c r="CW175" s="7" t="s">
        <v>4346</v>
      </c>
      <c r="CX175" s="2" t="s">
        <v>4347</v>
      </c>
      <c r="CY175" s="2" t="s">
        <v>3543</v>
      </c>
      <c r="CZ175" s="3" t="s">
        <v>4348</v>
      </c>
      <c r="DA175" s="197" t="s">
        <v>4349</v>
      </c>
      <c r="DB175" s="197" t="s">
        <v>4399</v>
      </c>
      <c r="DC175" s="2" t="s">
        <v>4350</v>
      </c>
      <c r="DD175" s="2" t="s">
        <v>83</v>
      </c>
      <c r="DE175" s="2" t="s">
        <v>927</v>
      </c>
      <c r="DF175" s="3" t="s">
        <v>4351</v>
      </c>
      <c r="DG175" s="197" t="s">
        <v>4352</v>
      </c>
      <c r="DH175" s="197" t="s">
        <v>579</v>
      </c>
      <c r="DI175" s="2" t="s">
        <v>912</v>
      </c>
      <c r="DJ175" s="2" t="s">
        <v>2833</v>
      </c>
      <c r="DK175" s="2" t="s">
        <v>485</v>
      </c>
      <c r="DL175" s="3" t="s">
        <v>2921</v>
      </c>
      <c r="DM175" s="197" t="s">
        <v>4353</v>
      </c>
      <c r="DN175" s="261" t="s">
        <v>4400</v>
      </c>
      <c r="DO175" s="27" t="s">
        <v>4354</v>
      </c>
      <c r="DP175" s="27" t="s">
        <v>4355</v>
      </c>
      <c r="DQ175" s="27" t="s">
        <v>1098</v>
      </c>
      <c r="DR175" s="28" t="s">
        <v>4356</v>
      </c>
      <c r="DS175" s="197" t="s">
        <v>4357</v>
      </c>
      <c r="DT175" s="197" t="s">
        <v>4401</v>
      </c>
      <c r="DU175" s="2" t="s">
        <v>921</v>
      </c>
      <c r="DV175" s="2" t="s">
        <v>4358</v>
      </c>
      <c r="DW175" s="2" t="s">
        <v>4359</v>
      </c>
      <c r="DX175" s="3" t="s">
        <v>4360</v>
      </c>
      <c r="DY175" s="197" t="s">
        <v>4361</v>
      </c>
      <c r="DZ175" s="197" t="s">
        <v>3973</v>
      </c>
      <c r="EA175" s="7" t="s">
        <v>4362</v>
      </c>
      <c r="EB175" s="2" t="s">
        <v>3891</v>
      </c>
      <c r="EC175" s="2" t="s">
        <v>4363</v>
      </c>
      <c r="ED175" s="3" t="s">
        <v>4364</v>
      </c>
      <c r="EE175" s="197" t="s">
        <v>4365</v>
      </c>
      <c r="EF175" s="504" t="s">
        <v>2011</v>
      </c>
      <c r="EG175" s="2" t="s">
        <v>4366</v>
      </c>
      <c r="EH175" s="2" t="s">
        <v>4367</v>
      </c>
      <c r="EI175" s="2" t="s">
        <v>4368</v>
      </c>
      <c r="EJ175" s="3" t="s">
        <v>4369</v>
      </c>
      <c r="EK175" s="197" t="s">
        <v>4370</v>
      </c>
      <c r="EL175" s="245" t="s">
        <v>4041</v>
      </c>
      <c r="EM175" s="2" t="s">
        <v>918</v>
      </c>
      <c r="EN175" s="2" t="s">
        <v>4371</v>
      </c>
      <c r="EO175" s="2" t="s">
        <v>4372</v>
      </c>
      <c r="EP175" s="3" t="s">
        <v>1102</v>
      </c>
      <c r="EQ175" s="197" t="s">
        <v>4373</v>
      </c>
      <c r="ER175" s="197" t="s">
        <v>4402</v>
      </c>
      <c r="ES175" s="7" t="s">
        <v>3069</v>
      </c>
      <c r="ET175" s="2" t="s">
        <v>2909</v>
      </c>
      <c r="EU175" s="2" t="s">
        <v>4374</v>
      </c>
      <c r="EV175" s="3" t="s">
        <v>2911</v>
      </c>
      <c r="EW175" s="197" t="s">
        <v>4375</v>
      </c>
      <c r="EX175" s="504" t="s">
        <v>4403</v>
      </c>
      <c r="EY175" s="2" t="s">
        <v>3953</v>
      </c>
      <c r="EZ175" s="2" t="s">
        <v>4376</v>
      </c>
      <c r="FA175" s="2" t="s">
        <v>4377</v>
      </c>
      <c r="FB175" s="3" t="s">
        <v>639</v>
      </c>
      <c r="FC175" s="197" t="s">
        <v>978</v>
      </c>
      <c r="FD175" s="504" t="s">
        <v>517</v>
      </c>
      <c r="FE175" s="2" t="s">
        <v>980</v>
      </c>
      <c r="FF175" s="2" t="s">
        <v>4378</v>
      </c>
      <c r="FG175" s="2" t="s">
        <v>981</v>
      </c>
      <c r="FH175" s="3" t="s">
        <v>483</v>
      </c>
      <c r="FI175" s="197" t="s">
        <v>1122</v>
      </c>
      <c r="FJ175" s="504" t="s">
        <v>3054</v>
      </c>
      <c r="FK175" s="2" t="s">
        <v>1124</v>
      </c>
      <c r="FL175" s="2" t="s">
        <v>1125</v>
      </c>
      <c r="FM175" s="2" t="s">
        <v>1126</v>
      </c>
      <c r="FN175" s="3" t="s">
        <v>1127</v>
      </c>
      <c r="FO175" s="197" t="s">
        <v>4379</v>
      </c>
      <c r="FP175" s="504" t="s">
        <v>4404</v>
      </c>
      <c r="FQ175" s="2" t="s">
        <v>4380</v>
      </c>
      <c r="FR175" s="2" t="s">
        <v>4381</v>
      </c>
      <c r="FS175" s="2" t="s">
        <v>4382</v>
      </c>
      <c r="FT175" s="3" t="s">
        <v>2139</v>
      </c>
      <c r="FU175" s="197" t="s">
        <v>4383</v>
      </c>
      <c r="FV175" s="197" t="s">
        <v>4079</v>
      </c>
      <c r="FW175" s="2" t="s">
        <v>4384</v>
      </c>
      <c r="FX175" s="2" t="s">
        <v>1226</v>
      </c>
      <c r="FY175" s="2" t="s">
        <v>4385</v>
      </c>
      <c r="FZ175" s="3" t="s">
        <v>1222</v>
      </c>
      <c r="GA175" s="197" t="s">
        <v>4386</v>
      </c>
      <c r="GB175" s="504" t="s">
        <v>3973</v>
      </c>
      <c r="GC175" s="2" t="s">
        <v>2952</v>
      </c>
      <c r="GD175" s="2" t="s">
        <v>4387</v>
      </c>
      <c r="GE175" s="2" t="s">
        <v>4388</v>
      </c>
      <c r="GF175" s="3" t="s">
        <v>2838</v>
      </c>
      <c r="GG175" s="197" t="s">
        <v>4389</v>
      </c>
      <c r="GH175" s="197" t="s">
        <v>1973</v>
      </c>
      <c r="GI175" s="7" t="s">
        <v>4390</v>
      </c>
      <c r="GJ175" s="2" t="s">
        <v>469</v>
      </c>
      <c r="GK175" s="2" t="s">
        <v>4391</v>
      </c>
      <c r="GL175" s="3" t="s">
        <v>4392</v>
      </c>
      <c r="GM175" s="197"/>
      <c r="GN175" s="504"/>
      <c r="GO175" s="2"/>
      <c r="GP175" s="2"/>
      <c r="GQ175" s="2"/>
      <c r="GR175" s="3"/>
      <c r="GS175" s="197"/>
      <c r="GT175" s="197"/>
      <c r="GU175" s="7"/>
      <c r="GV175" s="2"/>
      <c r="GW175" s="2"/>
      <c r="GX175" s="3"/>
      <c r="GY175" s="197"/>
      <c r="GZ175" s="197"/>
      <c r="HA175" s="7"/>
      <c r="HB175" s="2"/>
      <c r="HC175" s="2"/>
      <c r="HD175" s="3"/>
      <c r="HE175" s="197"/>
      <c r="HF175" s="197"/>
      <c r="HG175" s="7"/>
      <c r="HH175" s="2"/>
      <c r="HI175" s="2"/>
      <c r="HJ175" s="3"/>
      <c r="HK175" s="197"/>
      <c r="HL175" s="197"/>
      <c r="HM175" s="7"/>
      <c r="HN175" s="2"/>
      <c r="HO175" s="2"/>
      <c r="HP175" s="3"/>
      <c r="HQ175" s="197"/>
      <c r="HR175" s="197"/>
      <c r="HS175" s="7"/>
      <c r="HT175" s="2"/>
      <c r="HU175" s="2"/>
      <c r="HV175" s="3"/>
      <c r="HW175" s="197"/>
      <c r="HX175" s="197"/>
      <c r="HY175" s="7"/>
      <c r="HZ175" s="2"/>
      <c r="IA175" s="2"/>
      <c r="IB175" s="3"/>
      <c r="IC175" s="197"/>
      <c r="ID175" s="197"/>
      <c r="IE175" s="7"/>
      <c r="IF175" s="2"/>
      <c r="IG175" s="2"/>
      <c r="IH175" s="3"/>
      <c r="II175" s="197"/>
      <c r="IJ175" s="197"/>
      <c r="IK175" s="7"/>
      <c r="IL175" s="2"/>
      <c r="IM175" s="2"/>
      <c r="IN175" s="3"/>
      <c r="IO175" s="197"/>
      <c r="IP175" s="197"/>
      <c r="IQ175" s="7"/>
      <c r="IR175" s="2"/>
      <c r="IS175" s="2"/>
      <c r="IT175" s="3"/>
    </row>
    <row r="176" spans="1:254" s="507" customFormat="1" ht="12.9" customHeight="1" x14ac:dyDescent="0.2">
      <c r="A176" s="505" t="str">
        <f>+'Past Quartets 1st - 3rd Place'!A186</f>
        <v>2017 P</v>
      </c>
      <c r="B176" s="503">
        <f>+'Past Quartets 1st - 3rd Place'!B186</f>
        <v>31</v>
      </c>
      <c r="C176" s="197" t="s">
        <v>4521</v>
      </c>
      <c r="D176" s="197" t="s">
        <v>4597</v>
      </c>
      <c r="E176" s="2" t="s">
        <v>4522</v>
      </c>
      <c r="F176" s="2" t="s">
        <v>4523</v>
      </c>
      <c r="G176" s="2" t="s">
        <v>4335</v>
      </c>
      <c r="H176" s="2" t="s">
        <v>4524</v>
      </c>
      <c r="I176" s="197" t="s">
        <v>1103</v>
      </c>
      <c r="J176" s="261" t="s">
        <v>4605</v>
      </c>
      <c r="K176" s="27" t="s">
        <v>1105</v>
      </c>
      <c r="L176" s="27" t="s">
        <v>1106</v>
      </c>
      <c r="M176" s="27" t="s">
        <v>1107</v>
      </c>
      <c r="N176" s="28" t="s">
        <v>1108</v>
      </c>
      <c r="O176" s="197" t="s">
        <v>4525</v>
      </c>
      <c r="P176" s="197" t="s">
        <v>517</v>
      </c>
      <c r="Q176" s="2" t="s">
        <v>2764</v>
      </c>
      <c r="R176" s="2" t="s">
        <v>4355</v>
      </c>
      <c r="S176" s="2" t="s">
        <v>4526</v>
      </c>
      <c r="T176" s="3" t="s">
        <v>4527</v>
      </c>
      <c r="U176" s="197" t="s">
        <v>4338</v>
      </c>
      <c r="V176" s="197" t="s">
        <v>4601</v>
      </c>
      <c r="W176" s="2" t="s">
        <v>2949</v>
      </c>
      <c r="X176" s="2" t="s">
        <v>1101</v>
      </c>
      <c r="Y176" s="2" t="s">
        <v>2941</v>
      </c>
      <c r="Z176" s="3" t="s">
        <v>2935</v>
      </c>
      <c r="AA176" s="197" t="s">
        <v>987</v>
      </c>
      <c r="AB176" s="197" t="s">
        <v>4600</v>
      </c>
      <c r="AC176" s="2" t="s">
        <v>698</v>
      </c>
      <c r="AD176" s="2" t="s">
        <v>3955</v>
      </c>
      <c r="AE176" s="2" t="s">
        <v>989</v>
      </c>
      <c r="AF176" s="2" t="s">
        <v>2767</v>
      </c>
      <c r="AG176" s="197" t="s">
        <v>1089</v>
      </c>
      <c r="AH176" s="261" t="s">
        <v>4079</v>
      </c>
      <c r="AI176" s="27" t="s">
        <v>1228</v>
      </c>
      <c r="AJ176" s="27" t="s">
        <v>4081</v>
      </c>
      <c r="AK176" s="27" t="s">
        <v>3088</v>
      </c>
      <c r="AL176" s="28" t="s">
        <v>3555</v>
      </c>
      <c r="AM176" s="197" t="s">
        <v>4529</v>
      </c>
      <c r="AN176" s="261" t="s">
        <v>4079</v>
      </c>
      <c r="AO176" s="7" t="s">
        <v>4530</v>
      </c>
      <c r="AP176" s="2" t="s">
        <v>4531</v>
      </c>
      <c r="AQ176" s="2" t="s">
        <v>3046</v>
      </c>
      <c r="AR176" s="3" t="s">
        <v>959</v>
      </c>
      <c r="AS176" s="197" t="s">
        <v>4509</v>
      </c>
      <c r="AT176" s="197" t="s">
        <v>4041</v>
      </c>
      <c r="AU176" s="2" t="s">
        <v>2497</v>
      </c>
      <c r="AV176" s="2" t="s">
        <v>3985</v>
      </c>
      <c r="AW176" s="2" t="s">
        <v>1120</v>
      </c>
      <c r="AX176" s="3" t="s">
        <v>4341</v>
      </c>
      <c r="AY176" s="197" t="s">
        <v>2864</v>
      </c>
      <c r="AZ176" s="261" t="s">
        <v>4602</v>
      </c>
      <c r="BA176" s="27" t="s">
        <v>449</v>
      </c>
      <c r="BB176" s="27" t="s">
        <v>2891</v>
      </c>
      <c r="BC176" s="27" t="s">
        <v>3055</v>
      </c>
      <c r="BD176" s="28" t="s">
        <v>2892</v>
      </c>
      <c r="BE176" s="197" t="s">
        <v>4532</v>
      </c>
      <c r="BF176" s="504" t="s">
        <v>4603</v>
      </c>
      <c r="BG176" s="2" t="s">
        <v>1511</v>
      </c>
      <c r="BH176" s="2" t="s">
        <v>1124</v>
      </c>
      <c r="BI176" s="2" t="s">
        <v>4533</v>
      </c>
      <c r="BJ176" s="3" t="s">
        <v>4534</v>
      </c>
      <c r="BK176" s="197" t="s">
        <v>4345</v>
      </c>
      <c r="BL176" s="197" t="s">
        <v>4604</v>
      </c>
      <c r="BM176" s="7" t="s">
        <v>4346</v>
      </c>
      <c r="BN176" s="2" t="s">
        <v>4347</v>
      </c>
      <c r="BO176" s="2" t="s">
        <v>3543</v>
      </c>
      <c r="BP176" s="3" t="s">
        <v>4348</v>
      </c>
      <c r="BQ176" s="197" t="s">
        <v>4518</v>
      </c>
      <c r="BR176" s="261" t="s">
        <v>4079</v>
      </c>
      <c r="BS176" s="27" t="s">
        <v>2835</v>
      </c>
      <c r="BT176" s="27" t="s">
        <v>3081</v>
      </c>
      <c r="BU176" s="27" t="s">
        <v>417</v>
      </c>
      <c r="BV176" s="28" t="s">
        <v>418</v>
      </c>
      <c r="BW176" s="197" t="s">
        <v>4535</v>
      </c>
      <c r="BX176" s="197" t="s">
        <v>1104</v>
      </c>
      <c r="BY176" s="2" t="s">
        <v>1115</v>
      </c>
      <c r="BZ176" s="2" t="s">
        <v>4536</v>
      </c>
      <c r="CA176" s="2" t="s">
        <v>4537</v>
      </c>
      <c r="CB176" s="3" t="s">
        <v>4538</v>
      </c>
      <c r="CC176" s="197" t="s">
        <v>4352</v>
      </c>
      <c r="CD176" s="197" t="s">
        <v>579</v>
      </c>
      <c r="CE176" s="2" t="s">
        <v>912</v>
      </c>
      <c r="CF176" s="2" t="s">
        <v>2833</v>
      </c>
      <c r="CG176" s="2" t="s">
        <v>485</v>
      </c>
      <c r="CH176" s="3" t="s">
        <v>2921</v>
      </c>
      <c r="CI176" s="197" t="s">
        <v>4349</v>
      </c>
      <c r="CJ176" s="197" t="s">
        <v>4399</v>
      </c>
      <c r="CK176" s="2" t="s">
        <v>4350</v>
      </c>
      <c r="CL176" s="2" t="s">
        <v>83</v>
      </c>
      <c r="CM176" s="2" t="s">
        <v>927</v>
      </c>
      <c r="CN176" s="3" t="s">
        <v>4539</v>
      </c>
      <c r="CO176" s="197" t="s">
        <v>4540</v>
      </c>
      <c r="CP176" s="261" t="s">
        <v>4619</v>
      </c>
      <c r="CQ176" s="27" t="s">
        <v>4541</v>
      </c>
      <c r="CR176" s="27" t="s">
        <v>4542</v>
      </c>
      <c r="CS176" s="27" t="s">
        <v>2894</v>
      </c>
      <c r="CT176" s="28" t="s">
        <v>4369</v>
      </c>
      <c r="CU176" s="197" t="s">
        <v>4543</v>
      </c>
      <c r="CV176" s="197" t="s">
        <v>1885</v>
      </c>
      <c r="CW176" s="7" t="s">
        <v>822</v>
      </c>
      <c r="CX176" s="2" t="s">
        <v>4544</v>
      </c>
      <c r="CY176" s="2" t="s">
        <v>4545</v>
      </c>
      <c r="CZ176" s="3" t="s">
        <v>4546</v>
      </c>
      <c r="DA176" s="197" t="s">
        <v>4361</v>
      </c>
      <c r="DB176" s="197" t="s">
        <v>3973</v>
      </c>
      <c r="DC176" s="7" t="s">
        <v>4362</v>
      </c>
      <c r="DD176" s="2" t="s">
        <v>3891</v>
      </c>
      <c r="DE176" s="2" t="s">
        <v>4363</v>
      </c>
      <c r="DF176" s="3" t="s">
        <v>4364</v>
      </c>
      <c r="DG176" s="197" t="s">
        <v>978</v>
      </c>
      <c r="DH176" s="504" t="s">
        <v>517</v>
      </c>
      <c r="DI176" s="2" t="s">
        <v>2529</v>
      </c>
      <c r="DJ176" s="2" t="s">
        <v>4378</v>
      </c>
      <c r="DK176" s="2" t="s">
        <v>981</v>
      </c>
      <c r="DL176" s="3" t="s">
        <v>483</v>
      </c>
      <c r="DM176" s="197" t="s">
        <v>4547</v>
      </c>
      <c r="DN176" s="261" t="s">
        <v>4618</v>
      </c>
      <c r="DO176" s="27" t="s">
        <v>4548</v>
      </c>
      <c r="DP176" s="27" t="s">
        <v>4549</v>
      </c>
      <c r="DQ176" s="27" t="s">
        <v>1770</v>
      </c>
      <c r="DR176" s="28" t="s">
        <v>4550</v>
      </c>
      <c r="DS176" s="197" t="s">
        <v>4551</v>
      </c>
      <c r="DT176" s="197" t="s">
        <v>3826</v>
      </c>
      <c r="DU176" s="2" t="s">
        <v>4552</v>
      </c>
      <c r="DV176" s="2" t="s">
        <v>4553</v>
      </c>
      <c r="DW176" s="2" t="s">
        <v>4554</v>
      </c>
      <c r="DX176" s="3" t="s">
        <v>4555</v>
      </c>
      <c r="DY176" s="197" t="s">
        <v>4375</v>
      </c>
      <c r="DZ176" s="504" t="s">
        <v>4403</v>
      </c>
      <c r="EA176" s="2" t="s">
        <v>3953</v>
      </c>
      <c r="EB176" s="2" t="s">
        <v>4376</v>
      </c>
      <c r="EC176" s="2" t="s">
        <v>4377</v>
      </c>
      <c r="ED176" s="3" t="s">
        <v>639</v>
      </c>
      <c r="EE176" s="197" t="s">
        <v>1128</v>
      </c>
      <c r="EF176" s="197" t="s">
        <v>1129</v>
      </c>
      <c r="EG176" s="2" t="s">
        <v>1130</v>
      </c>
      <c r="EH176" s="2" t="s">
        <v>1131</v>
      </c>
      <c r="EI176" s="2" t="s">
        <v>1132</v>
      </c>
      <c r="EJ176" s="3" t="s">
        <v>1133</v>
      </c>
      <c r="EK176" s="197" t="s">
        <v>4386</v>
      </c>
      <c r="EL176" s="504" t="s">
        <v>3973</v>
      </c>
      <c r="EM176" s="2" t="s">
        <v>2952</v>
      </c>
      <c r="EN176" s="2" t="s">
        <v>4387</v>
      </c>
      <c r="EO176" s="2" t="s">
        <v>4388</v>
      </c>
      <c r="EP176" s="3" t="s">
        <v>4556</v>
      </c>
      <c r="EQ176" s="197" t="s">
        <v>4557</v>
      </c>
      <c r="ER176" s="197" t="s">
        <v>4635</v>
      </c>
      <c r="ES176" s="7" t="s">
        <v>1102</v>
      </c>
      <c r="ET176" s="2" t="s">
        <v>4558</v>
      </c>
      <c r="EU176" s="2" t="s">
        <v>4559</v>
      </c>
      <c r="EV176" s="3" t="s">
        <v>1502</v>
      </c>
      <c r="EW176" s="197"/>
      <c r="EX176" s="504"/>
      <c r="EY176" s="2"/>
      <c r="EZ176" s="2"/>
      <c r="FA176" s="2"/>
      <c r="FB176" s="3"/>
      <c r="FC176" s="197"/>
      <c r="FD176" s="504"/>
      <c r="FE176" s="2"/>
      <c r="FF176" s="2"/>
      <c r="FG176" s="2"/>
      <c r="FH176" s="3"/>
      <c r="FI176" s="197"/>
      <c r="FJ176" s="504"/>
      <c r="FK176" s="2"/>
      <c r="FL176" s="2"/>
      <c r="FM176" s="2"/>
      <c r="FN176" s="3"/>
      <c r="FO176" s="197"/>
      <c r="FP176" s="504"/>
      <c r="FQ176" s="2"/>
      <c r="FR176" s="2"/>
      <c r="FS176" s="2"/>
      <c r="FT176" s="3"/>
      <c r="FU176" s="197"/>
      <c r="FV176" s="197"/>
      <c r="FW176" s="2"/>
      <c r="FX176" s="2"/>
      <c r="FY176" s="2"/>
      <c r="FZ176" s="3"/>
      <c r="GA176" s="197"/>
      <c r="GB176" s="504"/>
      <c r="GC176" s="2"/>
      <c r="GD176" s="2"/>
      <c r="GE176" s="2"/>
      <c r="GF176" s="3"/>
      <c r="GG176" s="197"/>
      <c r="GH176" s="197"/>
      <c r="GI176" s="7"/>
      <c r="GJ176" s="2"/>
      <c r="GK176" s="2"/>
      <c r="GL176" s="3"/>
      <c r="GM176" s="197"/>
      <c r="GN176" s="504"/>
      <c r="GO176" s="2"/>
      <c r="GP176" s="2"/>
      <c r="GQ176" s="2"/>
      <c r="GR176" s="3"/>
      <c r="GS176" s="197"/>
      <c r="GT176" s="197"/>
      <c r="GU176" s="7"/>
      <c r="GV176" s="2"/>
      <c r="GW176" s="2"/>
      <c r="GX176" s="3"/>
      <c r="GY176" s="197"/>
      <c r="GZ176" s="197"/>
      <c r="HA176" s="7"/>
      <c r="HB176" s="2"/>
      <c r="HC176" s="2"/>
      <c r="HD176" s="3"/>
      <c r="HE176" s="197"/>
      <c r="HF176" s="197"/>
      <c r="HG176" s="7"/>
      <c r="HH176" s="2"/>
      <c r="HI176" s="2"/>
      <c r="HJ176" s="3"/>
      <c r="HK176" s="197"/>
      <c r="HL176" s="197"/>
      <c r="HM176" s="7"/>
      <c r="HN176" s="2"/>
      <c r="HO176" s="2"/>
      <c r="HP176" s="3"/>
      <c r="HQ176" s="197"/>
      <c r="HR176" s="197"/>
      <c r="HS176" s="7"/>
      <c r="HT176" s="2"/>
      <c r="HU176" s="2"/>
      <c r="HV176" s="3"/>
      <c r="HW176" s="197"/>
      <c r="HX176" s="197"/>
      <c r="HY176" s="7"/>
      <c r="HZ176" s="2"/>
      <c r="IA176" s="2"/>
      <c r="IB176" s="3"/>
      <c r="IC176" s="197"/>
      <c r="ID176" s="197"/>
      <c r="IE176" s="7"/>
      <c r="IF176" s="2"/>
      <c r="IG176" s="2"/>
      <c r="IH176" s="3"/>
      <c r="II176" s="197"/>
      <c r="IJ176" s="197"/>
      <c r="IK176" s="7"/>
      <c r="IL176" s="2"/>
      <c r="IM176" s="2"/>
      <c r="IN176" s="3"/>
      <c r="IO176" s="197"/>
      <c r="IP176" s="197"/>
      <c r="IQ176" s="7"/>
      <c r="IR176" s="2"/>
      <c r="IS176" s="2"/>
      <c r="IT176" s="3"/>
    </row>
    <row r="177" spans="1:254" s="507" customFormat="1" ht="12.9" customHeight="1" x14ac:dyDescent="0.2">
      <c r="A177" s="505" t="str">
        <f>+'Past Quartets 1st - 3rd Place'!A187</f>
        <v>2018 P</v>
      </c>
      <c r="B177" s="503">
        <f>+'Past Quartets 1st - 3rd Place'!B187</f>
        <v>36</v>
      </c>
      <c r="C177" s="197" t="s">
        <v>4669</v>
      </c>
      <c r="D177" s="197" t="s">
        <v>4489</v>
      </c>
      <c r="E177" s="2" t="s">
        <v>838</v>
      </c>
      <c r="F177" s="2" t="s">
        <v>4670</v>
      </c>
      <c r="G177" s="2" t="s">
        <v>4671</v>
      </c>
      <c r="H177" s="2" t="s">
        <v>924</v>
      </c>
      <c r="I177" s="197" t="s">
        <v>1103</v>
      </c>
      <c r="J177" s="261" t="s">
        <v>4605</v>
      </c>
      <c r="K177" s="27" t="s">
        <v>1105</v>
      </c>
      <c r="L177" s="27" t="s">
        <v>1106</v>
      </c>
      <c r="M177" s="27" t="s">
        <v>1107</v>
      </c>
      <c r="N177" s="28" t="s">
        <v>1108</v>
      </c>
      <c r="O177" s="197" t="s">
        <v>4672</v>
      </c>
      <c r="P177" s="197" t="s">
        <v>4705</v>
      </c>
      <c r="Q177" s="2" t="s">
        <v>66</v>
      </c>
      <c r="R177" s="2" t="s">
        <v>3552</v>
      </c>
      <c r="S177" s="2" t="s">
        <v>4673</v>
      </c>
      <c r="T177" s="3" t="s">
        <v>4674</v>
      </c>
      <c r="U177" s="197" t="s">
        <v>4675</v>
      </c>
      <c r="V177" s="197" t="s">
        <v>4706</v>
      </c>
      <c r="W177" s="2" t="s">
        <v>3431</v>
      </c>
      <c r="X177" s="2" t="s">
        <v>2966</v>
      </c>
      <c r="Y177" s="2" t="s">
        <v>3602</v>
      </c>
      <c r="Z177" s="3" t="s">
        <v>1098</v>
      </c>
      <c r="AA177" s="197" t="s">
        <v>4676</v>
      </c>
      <c r="AB177" s="197" t="s">
        <v>3580</v>
      </c>
      <c r="AC177" s="2" t="s">
        <v>3981</v>
      </c>
      <c r="AD177" s="2" t="s">
        <v>4677</v>
      </c>
      <c r="AE177" s="2" t="s">
        <v>3983</v>
      </c>
      <c r="AF177" s="2" t="s">
        <v>2950</v>
      </c>
      <c r="AG177" s="197" t="s">
        <v>987</v>
      </c>
      <c r="AH177" s="197" t="s">
        <v>4889</v>
      </c>
      <c r="AI177" s="2" t="s">
        <v>698</v>
      </c>
      <c r="AJ177" s="2" t="s">
        <v>3955</v>
      </c>
      <c r="AK177" s="2" t="s">
        <v>989</v>
      </c>
      <c r="AL177" s="2" t="s">
        <v>2767</v>
      </c>
      <c r="AM177" s="197" t="s">
        <v>4529</v>
      </c>
      <c r="AN177" s="261" t="s">
        <v>4079</v>
      </c>
      <c r="AO177" s="7" t="s">
        <v>4530</v>
      </c>
      <c r="AP177" s="2" t="s">
        <v>4531</v>
      </c>
      <c r="AQ177" s="2" t="s">
        <v>3046</v>
      </c>
      <c r="AR177" s="3" t="s">
        <v>959</v>
      </c>
      <c r="AS177" s="197" t="s">
        <v>4678</v>
      </c>
      <c r="AT177" s="197" t="s">
        <v>4707</v>
      </c>
      <c r="AU177" s="2" t="s">
        <v>4350</v>
      </c>
      <c r="AV177" s="2" t="s">
        <v>4679</v>
      </c>
      <c r="AW177" s="2" t="s">
        <v>2410</v>
      </c>
      <c r="AX177" s="3" t="s">
        <v>4539</v>
      </c>
      <c r="AY177" s="197" t="s">
        <v>4540</v>
      </c>
      <c r="AZ177" s="261" t="s">
        <v>4708</v>
      </c>
      <c r="BA177" s="27" t="s">
        <v>4541</v>
      </c>
      <c r="BB177" s="27" t="s">
        <v>4369</v>
      </c>
      <c r="BC177" s="27" t="s">
        <v>637</v>
      </c>
      <c r="BD177" s="28" t="s">
        <v>1788</v>
      </c>
      <c r="BE177" s="197" t="s">
        <v>4680</v>
      </c>
      <c r="BF177" s="504" t="s">
        <v>4709</v>
      </c>
      <c r="BG177" s="2" t="s">
        <v>1291</v>
      </c>
      <c r="BH177" s="2" t="s">
        <v>81</v>
      </c>
      <c r="BI177" s="2" t="s">
        <v>3081</v>
      </c>
      <c r="BJ177" s="3" t="s">
        <v>3368</v>
      </c>
      <c r="BK177" s="197" t="s">
        <v>4532</v>
      </c>
      <c r="BL177" s="504" t="s">
        <v>4603</v>
      </c>
      <c r="BM177" s="2" t="s">
        <v>1511</v>
      </c>
      <c r="BN177" s="2" t="s">
        <v>1124</v>
      </c>
      <c r="BO177" s="2" t="s">
        <v>4533</v>
      </c>
      <c r="BP177" s="3" t="s">
        <v>4534</v>
      </c>
      <c r="BQ177" s="197" t="s">
        <v>4681</v>
      </c>
      <c r="BR177" s="261" t="s">
        <v>4489</v>
      </c>
      <c r="BS177" s="27" t="s">
        <v>4682</v>
      </c>
      <c r="BT177" s="27" t="s">
        <v>4332</v>
      </c>
      <c r="BU177" s="27" t="s">
        <v>4683</v>
      </c>
      <c r="BV177" s="28" t="s">
        <v>4014</v>
      </c>
      <c r="BW177" s="197" t="s">
        <v>1564</v>
      </c>
      <c r="BX177" s="197" t="s">
        <v>4684</v>
      </c>
      <c r="BY177" s="2" t="s">
        <v>1833</v>
      </c>
      <c r="BZ177" s="2" t="s">
        <v>1834</v>
      </c>
      <c r="CA177" s="2" t="s">
        <v>1887</v>
      </c>
      <c r="CB177" s="3" t="s">
        <v>1835</v>
      </c>
      <c r="CC177" s="197" t="s">
        <v>412</v>
      </c>
      <c r="CD177" s="197" t="s">
        <v>4079</v>
      </c>
      <c r="CE177" s="2" t="s">
        <v>3086</v>
      </c>
      <c r="CF177" s="2" t="s">
        <v>3087</v>
      </c>
      <c r="CG177" s="2" t="s">
        <v>3088</v>
      </c>
      <c r="CH177" s="3" t="s">
        <v>3514</v>
      </c>
      <c r="CI177" s="197" t="s">
        <v>52</v>
      </c>
      <c r="CJ177" s="197" t="s">
        <v>730</v>
      </c>
      <c r="CK177" s="2" t="s">
        <v>2835</v>
      </c>
      <c r="CL177" s="2" t="s">
        <v>2836</v>
      </c>
      <c r="CM177" s="2" t="s">
        <v>417</v>
      </c>
      <c r="CN177" s="3" t="s">
        <v>418</v>
      </c>
      <c r="CO177" s="197" t="s">
        <v>4685</v>
      </c>
      <c r="CP177" s="261" t="s">
        <v>1175</v>
      </c>
      <c r="CQ177" s="27" t="s">
        <v>4686</v>
      </c>
      <c r="CR177" s="27" t="s">
        <v>4687</v>
      </c>
      <c r="CS177" s="27" t="s">
        <v>4688</v>
      </c>
      <c r="CT177" s="28" t="s">
        <v>4542</v>
      </c>
      <c r="CU177" s="197" t="s">
        <v>4689</v>
      </c>
      <c r="CV177" s="197" t="s">
        <v>593</v>
      </c>
      <c r="CW177" s="7" t="s">
        <v>4640</v>
      </c>
      <c r="CX177" s="2" t="s">
        <v>4641</v>
      </c>
      <c r="CY177" s="2" t="s">
        <v>4643</v>
      </c>
      <c r="CZ177" s="3" t="s">
        <v>4642</v>
      </c>
      <c r="DA177" s="197" t="s">
        <v>4338</v>
      </c>
      <c r="DB177" s="197" t="s">
        <v>4710</v>
      </c>
      <c r="DC177" s="7" t="s">
        <v>2331</v>
      </c>
      <c r="DD177" s="2" t="s">
        <v>1101</v>
      </c>
      <c r="DE177" s="2" t="s">
        <v>2941</v>
      </c>
      <c r="DF177" s="3" t="s">
        <v>2935</v>
      </c>
      <c r="DG177" s="197" t="s">
        <v>978</v>
      </c>
      <c r="DH177" s="504" t="s">
        <v>517</v>
      </c>
      <c r="DI177" s="2" t="s">
        <v>2529</v>
      </c>
      <c r="DJ177" s="2" t="s">
        <v>4378</v>
      </c>
      <c r="DK177" s="2" t="s">
        <v>981</v>
      </c>
      <c r="DL177" s="3" t="s">
        <v>483</v>
      </c>
      <c r="DM177" s="197" t="s">
        <v>1550</v>
      </c>
      <c r="DN177" s="261" t="s">
        <v>3580</v>
      </c>
      <c r="DO177" s="27" t="s">
        <v>2265</v>
      </c>
      <c r="DP177" s="27" t="s">
        <v>1256</v>
      </c>
      <c r="DQ177" s="27" t="s">
        <v>3881</v>
      </c>
      <c r="DR177" s="28" t="s">
        <v>2970</v>
      </c>
      <c r="DS177" s="197" t="s">
        <v>4651</v>
      </c>
      <c r="DT177" s="197" t="s">
        <v>579</v>
      </c>
      <c r="DU177" s="2" t="s">
        <v>3979</v>
      </c>
      <c r="DV177" s="2" t="s">
        <v>4654</v>
      </c>
      <c r="DW177" s="2" t="s">
        <v>4655</v>
      </c>
      <c r="DX177" s="3" t="s">
        <v>4656</v>
      </c>
      <c r="DY177" s="197" t="s">
        <v>4690</v>
      </c>
      <c r="DZ177" s="504" t="s">
        <v>1838</v>
      </c>
      <c r="EA177" s="2" t="s">
        <v>4541</v>
      </c>
      <c r="EB177" s="2" t="s">
        <v>4369</v>
      </c>
      <c r="EC177" s="2" t="s">
        <v>637</v>
      </c>
      <c r="ED177" s="3" t="s">
        <v>1788</v>
      </c>
      <c r="EE177" s="197" t="s">
        <v>4691</v>
      </c>
      <c r="EF177" s="197" t="s">
        <v>4041</v>
      </c>
      <c r="EG177" s="2" t="s">
        <v>4692</v>
      </c>
      <c r="EH177" s="2" t="s">
        <v>63</v>
      </c>
      <c r="EI177" s="2" t="s">
        <v>3045</v>
      </c>
      <c r="EJ177" s="3" t="s">
        <v>4693</v>
      </c>
      <c r="EK177" s="197" t="s">
        <v>4657</v>
      </c>
      <c r="EL177" s="504" t="s">
        <v>2293</v>
      </c>
      <c r="EM177" s="2" t="s">
        <v>78</v>
      </c>
      <c r="EN177" s="2" t="s">
        <v>3067</v>
      </c>
      <c r="EO177" s="2" t="s">
        <v>3068</v>
      </c>
      <c r="EP177" s="3" t="s">
        <v>648</v>
      </c>
      <c r="EQ177" s="197" t="s">
        <v>4694</v>
      </c>
      <c r="ER177" s="197" t="s">
        <v>4697</v>
      </c>
      <c r="ES177" s="7" t="s">
        <v>2913</v>
      </c>
      <c r="ET177" s="2" t="s">
        <v>4695</v>
      </c>
      <c r="EU177" s="2" t="s">
        <v>938</v>
      </c>
      <c r="EV177" s="3" t="s">
        <v>4696</v>
      </c>
      <c r="EW177" s="197" t="s">
        <v>4698</v>
      </c>
      <c r="EX177" s="504" t="s">
        <v>4711</v>
      </c>
      <c r="EY177" s="2" t="s">
        <v>4552</v>
      </c>
      <c r="EZ177" s="2" t="s">
        <v>4553</v>
      </c>
      <c r="FA177" s="2" t="s">
        <v>4699</v>
      </c>
      <c r="FB177" s="3" t="s">
        <v>4700</v>
      </c>
      <c r="FC177" s="197" t="s">
        <v>4543</v>
      </c>
      <c r="FD177" s="197" t="s">
        <v>1885</v>
      </c>
      <c r="FE177" s="7" t="s">
        <v>822</v>
      </c>
      <c r="FF177" s="2" t="s">
        <v>4544</v>
      </c>
      <c r="FG177" s="2" t="s">
        <v>4545</v>
      </c>
      <c r="FH177" s="3" t="s">
        <v>4701</v>
      </c>
      <c r="FI177" s="197" t="s">
        <v>4644</v>
      </c>
      <c r="FJ177" s="504" t="s">
        <v>593</v>
      </c>
      <c r="FK177" s="2" t="s">
        <v>4645</v>
      </c>
      <c r="FL177" s="2" t="s">
        <v>4646</v>
      </c>
      <c r="FM177" s="2" t="s">
        <v>4647</v>
      </c>
      <c r="FN177" s="3" t="s">
        <v>4648</v>
      </c>
      <c r="FO177" s="197" t="s">
        <v>4379</v>
      </c>
      <c r="FP177" s="504" t="s">
        <v>4712</v>
      </c>
      <c r="FQ177" s="2" t="s">
        <v>4380</v>
      </c>
      <c r="FR177" s="2" t="s">
        <v>4381</v>
      </c>
      <c r="FS177" s="2" t="s">
        <v>4382</v>
      </c>
      <c r="FT177" s="3" t="s">
        <v>2139</v>
      </c>
      <c r="FU177" s="197" t="s">
        <v>4547</v>
      </c>
      <c r="FV177" s="197" t="s">
        <v>4618</v>
      </c>
      <c r="FW177" s="2" t="s">
        <v>4548</v>
      </c>
      <c r="FX177" s="2" t="s">
        <v>4549</v>
      </c>
      <c r="FY177" s="2" t="s">
        <v>1770</v>
      </c>
      <c r="FZ177" s="3" t="s">
        <v>4550</v>
      </c>
      <c r="GA177" s="197"/>
      <c r="GB177" s="504"/>
      <c r="GC177" s="2"/>
      <c r="GD177" s="2"/>
      <c r="GE177" s="2"/>
      <c r="GF177" s="3"/>
      <c r="GG177" s="197"/>
      <c r="GH177" s="197"/>
      <c r="GI177" s="7"/>
      <c r="GJ177" s="2"/>
      <c r="GK177" s="2"/>
      <c r="GL177" s="3"/>
      <c r="GM177" s="197"/>
      <c r="GN177" s="504"/>
      <c r="GO177" s="2"/>
      <c r="GP177" s="2"/>
      <c r="GQ177" s="2"/>
      <c r="GR177" s="3"/>
      <c r="GS177" s="197"/>
      <c r="GT177" s="197"/>
      <c r="GU177" s="7"/>
      <c r="GV177" s="2"/>
      <c r="GW177" s="2"/>
      <c r="GX177" s="3"/>
      <c r="GY177" s="197"/>
      <c r="GZ177" s="197"/>
      <c r="HA177" s="7"/>
      <c r="HB177" s="2"/>
      <c r="HC177" s="2"/>
      <c r="HD177" s="3"/>
      <c r="HE177" s="197"/>
      <c r="HF177" s="197"/>
      <c r="HG177" s="7"/>
      <c r="HH177" s="2"/>
      <c r="HI177" s="2"/>
      <c r="HJ177" s="3"/>
      <c r="HK177" s="197"/>
      <c r="HL177" s="197"/>
      <c r="HM177" s="7"/>
      <c r="HN177" s="2"/>
      <c r="HO177" s="2"/>
      <c r="HP177" s="3"/>
      <c r="HQ177" s="197"/>
      <c r="HR177" s="197"/>
      <c r="HS177" s="7"/>
      <c r="HT177" s="2"/>
      <c r="HU177" s="2"/>
      <c r="HV177" s="3"/>
      <c r="HW177" s="197"/>
      <c r="HX177" s="197"/>
      <c r="HY177" s="7"/>
      <c r="HZ177" s="2"/>
      <c r="IA177" s="2"/>
      <c r="IB177" s="3"/>
      <c r="IC177" s="197"/>
      <c r="ID177" s="197"/>
      <c r="IE177" s="7"/>
      <c r="IF177" s="2"/>
      <c r="IG177" s="2"/>
      <c r="IH177" s="3"/>
      <c r="II177" s="197"/>
      <c r="IJ177" s="197"/>
      <c r="IK177" s="7"/>
      <c r="IL177" s="2"/>
      <c r="IM177" s="2"/>
      <c r="IN177" s="3"/>
      <c r="IO177" s="197"/>
      <c r="IP177" s="197"/>
      <c r="IQ177" s="7"/>
      <c r="IR177" s="2"/>
      <c r="IS177" s="2"/>
      <c r="IT177" s="3"/>
    </row>
    <row r="178" spans="1:254" s="507" customFormat="1" ht="12.9" customHeight="1" x14ac:dyDescent="0.2">
      <c r="A178" s="505" t="str">
        <f>+'Past Quartets 1st - 3rd Place'!A188</f>
        <v>2019 P</v>
      </c>
      <c r="B178" s="503">
        <f>+'Past Quartets 1st - 3rd Place'!B188</f>
        <v>34</v>
      </c>
      <c r="C178" s="197" t="s">
        <v>1898</v>
      </c>
      <c r="D178" s="197" t="s">
        <v>4888</v>
      </c>
      <c r="E178" s="2" t="s">
        <v>1291</v>
      </c>
      <c r="F178" s="2" t="s">
        <v>941</v>
      </c>
      <c r="G178" s="2" t="s">
        <v>4803</v>
      </c>
      <c r="H178" s="2" t="s">
        <v>940</v>
      </c>
      <c r="I178" s="197" t="s">
        <v>4676</v>
      </c>
      <c r="J178" s="197" t="s">
        <v>3580</v>
      </c>
      <c r="K178" s="2" t="s">
        <v>3981</v>
      </c>
      <c r="L178" s="2" t="s">
        <v>4677</v>
      </c>
      <c r="M178" s="2" t="s">
        <v>3983</v>
      </c>
      <c r="N178" s="2" t="s">
        <v>2950</v>
      </c>
      <c r="O178" s="197" t="s">
        <v>4678</v>
      </c>
      <c r="P178" s="197" t="s">
        <v>4041</v>
      </c>
      <c r="Q178" s="2" t="s">
        <v>4350</v>
      </c>
      <c r="R178" s="2" t="s">
        <v>4679</v>
      </c>
      <c r="S178" s="2" t="s">
        <v>2410</v>
      </c>
      <c r="T178" s="3" t="s">
        <v>4539</v>
      </c>
      <c r="U178" s="197" t="s">
        <v>4805</v>
      </c>
      <c r="V178" s="197" t="s">
        <v>593</v>
      </c>
      <c r="W178" s="2" t="s">
        <v>2764</v>
      </c>
      <c r="X178" s="2" t="s">
        <v>4804</v>
      </c>
      <c r="Y178" s="2" t="s">
        <v>4354</v>
      </c>
      <c r="Z178" s="3" t="s">
        <v>4527</v>
      </c>
      <c r="AA178" s="197" t="s">
        <v>4806</v>
      </c>
      <c r="AB178" s="197" t="s">
        <v>4041</v>
      </c>
      <c r="AC178" s="2" t="s">
        <v>1115</v>
      </c>
      <c r="AD178" s="2" t="s">
        <v>2894</v>
      </c>
      <c r="AE178" s="2" t="s">
        <v>4807</v>
      </c>
      <c r="AF178" s="2" t="s">
        <v>4808</v>
      </c>
      <c r="AG178" s="197" t="s">
        <v>3101</v>
      </c>
      <c r="AH178" s="261" t="s">
        <v>4768</v>
      </c>
      <c r="AI178" s="27" t="s">
        <v>822</v>
      </c>
      <c r="AJ178" s="27" t="s">
        <v>912</v>
      </c>
      <c r="AK178" s="27" t="s">
        <v>427</v>
      </c>
      <c r="AL178" s="28" t="s">
        <v>825</v>
      </c>
      <c r="AM178" s="197" t="s">
        <v>4817</v>
      </c>
      <c r="AN178" s="261" t="s">
        <v>4847</v>
      </c>
      <c r="AO178" s="7" t="s">
        <v>4809</v>
      </c>
      <c r="AP178" s="2" t="s">
        <v>4810</v>
      </c>
      <c r="AQ178" s="2" t="s">
        <v>3555</v>
      </c>
      <c r="AR178" s="3" t="s">
        <v>4811</v>
      </c>
      <c r="AS178" s="197" t="s">
        <v>4816</v>
      </c>
      <c r="AT178" s="197" t="s">
        <v>4848</v>
      </c>
      <c r="AU178" s="2" t="s">
        <v>4350</v>
      </c>
      <c r="AV178" s="2" t="s">
        <v>2894</v>
      </c>
      <c r="AW178" s="2" t="s">
        <v>4813</v>
      </c>
      <c r="AX178" s="3" t="s">
        <v>4814</v>
      </c>
      <c r="AY178" s="197" t="s">
        <v>4815</v>
      </c>
      <c r="AZ178" s="261" t="s">
        <v>4869</v>
      </c>
      <c r="BA178" s="27" t="s">
        <v>4819</v>
      </c>
      <c r="BB178" s="27" t="s">
        <v>4546</v>
      </c>
      <c r="BC178" s="27" t="s">
        <v>4538</v>
      </c>
      <c r="BD178" s="28" t="s">
        <v>4647</v>
      </c>
      <c r="BE178" s="197" t="s">
        <v>4821</v>
      </c>
      <c r="BF178" s="197" t="s">
        <v>730</v>
      </c>
      <c r="BG178" s="2" t="s">
        <v>2835</v>
      </c>
      <c r="BH178" s="2" t="s">
        <v>2836</v>
      </c>
      <c r="BI178" s="2" t="s">
        <v>417</v>
      </c>
      <c r="BJ178" s="3" t="s">
        <v>418</v>
      </c>
      <c r="BK178" s="197" t="s">
        <v>4822</v>
      </c>
      <c r="BL178" s="504" t="s">
        <v>4041</v>
      </c>
      <c r="BM178" s="2" t="s">
        <v>4350</v>
      </c>
      <c r="BN178" s="2" t="s">
        <v>4679</v>
      </c>
      <c r="BO178" s="2" t="s">
        <v>4823</v>
      </c>
      <c r="BP178" s="3" t="s">
        <v>4824</v>
      </c>
      <c r="BQ178" s="197" t="s">
        <v>4825</v>
      </c>
      <c r="BR178" s="261" t="s">
        <v>4890</v>
      </c>
      <c r="BS178" s="27" t="s">
        <v>1311</v>
      </c>
      <c r="BT178" s="27" t="s">
        <v>4826</v>
      </c>
      <c r="BU178" s="27" t="s">
        <v>74</v>
      </c>
      <c r="BV178" s="28" t="s">
        <v>2746</v>
      </c>
      <c r="BW178" s="197" t="s">
        <v>4509</v>
      </c>
      <c r="BX178" s="197" t="s">
        <v>4041</v>
      </c>
      <c r="BY178" s="2" t="s">
        <v>2497</v>
      </c>
      <c r="BZ178" s="2" t="s">
        <v>3985</v>
      </c>
      <c r="CA178" s="2" t="s">
        <v>1120</v>
      </c>
      <c r="CB178" s="3" t="s">
        <v>4341</v>
      </c>
      <c r="CC178" s="197" t="s">
        <v>4827</v>
      </c>
      <c r="CD178" s="197" t="s">
        <v>4849</v>
      </c>
      <c r="CE178" s="2" t="s">
        <v>4541</v>
      </c>
      <c r="CF178" s="2" t="s">
        <v>4828</v>
      </c>
      <c r="CG178" s="2" t="s">
        <v>4829</v>
      </c>
      <c r="CH178" s="3" t="s">
        <v>4830</v>
      </c>
      <c r="CI178" s="197" t="s">
        <v>4769</v>
      </c>
      <c r="CJ178" s="197" t="s">
        <v>3826</v>
      </c>
      <c r="CK178" s="2" t="s">
        <v>1259</v>
      </c>
      <c r="CL178" s="2" t="s">
        <v>650</v>
      </c>
      <c r="CM178" s="2" t="s">
        <v>3083</v>
      </c>
      <c r="CN178" s="3" t="s">
        <v>1262</v>
      </c>
      <c r="CO178" s="197" t="s">
        <v>4770</v>
      </c>
      <c r="CP178" s="504" t="s">
        <v>4850</v>
      </c>
      <c r="CQ178" s="2" t="s">
        <v>4771</v>
      </c>
      <c r="CR178" s="2" t="s">
        <v>2836</v>
      </c>
      <c r="CS178" s="2" t="s">
        <v>3081</v>
      </c>
      <c r="CT178" s="3" t="s">
        <v>3368</v>
      </c>
      <c r="CU178" s="197" t="s">
        <v>4831</v>
      </c>
      <c r="CV178" s="197" t="s">
        <v>3533</v>
      </c>
      <c r="CW178" s="7" t="s">
        <v>1130</v>
      </c>
      <c r="CX178" s="2" t="s">
        <v>4832</v>
      </c>
      <c r="CY178" s="2" t="s">
        <v>2696</v>
      </c>
      <c r="CZ178" s="3" t="s">
        <v>1133</v>
      </c>
      <c r="DA178" s="197" t="s">
        <v>4833</v>
      </c>
      <c r="DB178" s="197" t="s">
        <v>3826</v>
      </c>
      <c r="DC178" s="7" t="s">
        <v>4834</v>
      </c>
      <c r="DD178" s="2" t="s">
        <v>3083</v>
      </c>
      <c r="DE178" s="2" t="s">
        <v>4695</v>
      </c>
      <c r="DF178" s="3" t="s">
        <v>2332</v>
      </c>
      <c r="DG178" s="197" t="s">
        <v>4835</v>
      </c>
      <c r="DH178" s="504" t="s">
        <v>593</v>
      </c>
      <c r="DI178" s="2" t="s">
        <v>4836</v>
      </c>
      <c r="DJ178" s="2" t="s">
        <v>4837</v>
      </c>
      <c r="DK178" s="2" t="s">
        <v>4838</v>
      </c>
      <c r="DL178" s="3" t="s">
        <v>932</v>
      </c>
      <c r="DM178" s="197" t="s">
        <v>4651</v>
      </c>
      <c r="DN178" s="504" t="s">
        <v>4653</v>
      </c>
      <c r="DO178" s="2" t="s">
        <v>3979</v>
      </c>
      <c r="DP178" s="2" t="s">
        <v>4654</v>
      </c>
      <c r="DQ178" s="2" t="s">
        <v>4655</v>
      </c>
      <c r="DR178" s="3" t="s">
        <v>4656</v>
      </c>
      <c r="DS178" s="197" t="s">
        <v>978</v>
      </c>
      <c r="DT178" s="504" t="s">
        <v>517</v>
      </c>
      <c r="DU178" s="2" t="s">
        <v>2529</v>
      </c>
      <c r="DV178" s="2" t="s">
        <v>4378</v>
      </c>
      <c r="DW178" s="2" t="s">
        <v>981</v>
      </c>
      <c r="DX178" s="3" t="s">
        <v>483</v>
      </c>
      <c r="DY178" s="197" t="s">
        <v>4691</v>
      </c>
      <c r="DZ178" s="197" t="s">
        <v>4041</v>
      </c>
      <c r="EA178" s="2" t="s">
        <v>4692</v>
      </c>
      <c r="EB178" s="2" t="s">
        <v>63</v>
      </c>
      <c r="EC178" s="2" t="s">
        <v>3045</v>
      </c>
      <c r="ED178" s="3" t="s">
        <v>4693</v>
      </c>
      <c r="EE178" s="197" t="s">
        <v>4839</v>
      </c>
      <c r="EF178" s="197" t="s">
        <v>4041</v>
      </c>
      <c r="EG178" s="2" t="s">
        <v>4377</v>
      </c>
      <c r="EH178" s="2" t="s">
        <v>3985</v>
      </c>
      <c r="EI178" s="2" t="s">
        <v>4840</v>
      </c>
      <c r="EJ178" s="3" t="s">
        <v>4045</v>
      </c>
      <c r="EK178" s="197" t="s">
        <v>4383</v>
      </c>
      <c r="EL178" s="197" t="s">
        <v>4847</v>
      </c>
      <c r="EM178" s="2" t="s">
        <v>1130</v>
      </c>
      <c r="EN178" s="2" t="s">
        <v>1226</v>
      </c>
      <c r="EO178" s="2" t="s">
        <v>173</v>
      </c>
      <c r="EP178" s="3" t="s">
        <v>4772</v>
      </c>
      <c r="EQ178" s="197" t="s">
        <v>4773</v>
      </c>
      <c r="ER178" s="504" t="s">
        <v>17</v>
      </c>
      <c r="ES178" s="2" t="s">
        <v>3780</v>
      </c>
      <c r="ET178" s="2" t="s">
        <v>184</v>
      </c>
      <c r="EU178" s="2" t="s">
        <v>4774</v>
      </c>
      <c r="EV178" s="3" t="s">
        <v>4775</v>
      </c>
      <c r="EW178" s="197" t="s">
        <v>4841</v>
      </c>
      <c r="EX178" s="504" t="s">
        <v>3635</v>
      </c>
      <c r="EY178" s="2" t="s">
        <v>822</v>
      </c>
      <c r="EZ178" s="2" t="s">
        <v>4842</v>
      </c>
      <c r="FA178" s="2" t="s">
        <v>4843</v>
      </c>
      <c r="FB178" s="3" t="s">
        <v>4844</v>
      </c>
      <c r="FC178" s="197" t="s">
        <v>4845</v>
      </c>
      <c r="FD178" s="197" t="s">
        <v>4041</v>
      </c>
      <c r="FE178" s="7" t="s">
        <v>4377</v>
      </c>
      <c r="FF178" s="2" t="s">
        <v>82</v>
      </c>
      <c r="FG178" s="2" t="s">
        <v>4846</v>
      </c>
      <c r="FH178" s="3" t="s">
        <v>1102</v>
      </c>
      <c r="FI178" s="197" t="s">
        <v>4776</v>
      </c>
      <c r="FJ178" s="504" t="s">
        <v>17</v>
      </c>
      <c r="FK178" s="2" t="s">
        <v>4777</v>
      </c>
      <c r="FL178" s="2" t="s">
        <v>4778</v>
      </c>
      <c r="FM178" s="2" t="s">
        <v>4779</v>
      </c>
      <c r="FN178" s="3" t="s">
        <v>4780</v>
      </c>
      <c r="FO178" s="197"/>
      <c r="FP178" s="504"/>
      <c r="FQ178" s="2"/>
      <c r="FR178" s="2"/>
      <c r="FS178" s="2"/>
      <c r="FT178" s="3"/>
      <c r="FU178" s="197"/>
      <c r="FV178" s="197"/>
      <c r="FW178" s="2"/>
      <c r="FX178" s="2"/>
      <c r="FY178" s="2"/>
      <c r="FZ178" s="3"/>
      <c r="GA178" s="197"/>
      <c r="GB178" s="504"/>
      <c r="GC178" s="2"/>
      <c r="GD178" s="2"/>
      <c r="GE178" s="2"/>
      <c r="GF178" s="3"/>
      <c r="GG178" s="197"/>
      <c r="GH178" s="197"/>
      <c r="GI178" s="7"/>
      <c r="GJ178" s="2"/>
      <c r="GK178" s="2"/>
      <c r="GL178" s="3"/>
      <c r="GM178" s="197"/>
      <c r="GN178" s="504"/>
      <c r="GO178" s="2"/>
      <c r="GP178" s="2"/>
      <c r="GQ178" s="2"/>
      <c r="GR178" s="3"/>
      <c r="GS178" s="197"/>
      <c r="GT178" s="197"/>
      <c r="GU178" s="7"/>
      <c r="GV178" s="2"/>
      <c r="GW178" s="2"/>
      <c r="GX178" s="3"/>
      <c r="GY178" s="197"/>
      <c r="GZ178" s="197"/>
      <c r="HA178" s="7"/>
      <c r="HB178" s="2"/>
      <c r="HC178" s="2"/>
      <c r="HD178" s="3"/>
      <c r="HE178" s="197"/>
      <c r="HF178" s="197"/>
      <c r="HG178" s="7"/>
      <c r="HH178" s="2"/>
      <c r="HI178" s="2"/>
      <c r="HJ178" s="3"/>
      <c r="HK178" s="197"/>
      <c r="HL178" s="197"/>
      <c r="HM178" s="7"/>
      <c r="HN178" s="2"/>
      <c r="HO178" s="2"/>
      <c r="HP178" s="3"/>
      <c r="HQ178" s="197"/>
      <c r="HR178" s="197"/>
      <c r="HS178" s="7"/>
      <c r="HT178" s="2"/>
      <c r="HU178" s="2"/>
      <c r="HV178" s="3"/>
      <c r="HW178" s="197"/>
      <c r="HX178" s="197"/>
      <c r="HY178" s="7"/>
      <c r="HZ178" s="2"/>
      <c r="IA178" s="2"/>
      <c r="IB178" s="3"/>
      <c r="IC178" s="197"/>
      <c r="ID178" s="197"/>
      <c r="IE178" s="7"/>
      <c r="IF178" s="2"/>
      <c r="IG178" s="2"/>
      <c r="IH178" s="3"/>
      <c r="II178" s="197"/>
      <c r="IJ178" s="197"/>
      <c r="IK178" s="7"/>
      <c r="IL178" s="2"/>
      <c r="IM178" s="2"/>
      <c r="IN178" s="3"/>
      <c r="IO178" s="197"/>
      <c r="IP178" s="197"/>
      <c r="IQ178" s="7"/>
      <c r="IR178" s="2"/>
      <c r="IS178" s="2"/>
      <c r="IT178" s="3"/>
    </row>
    <row r="179" spans="1:254" s="507" customFormat="1" ht="12.9" customHeight="1" x14ac:dyDescent="0.2">
      <c r="A179" s="496"/>
      <c r="B179" s="496"/>
      <c r="C179" s="506"/>
      <c r="D179" s="198"/>
      <c r="E179" s="4"/>
      <c r="F179" s="4"/>
      <c r="G179" s="4"/>
      <c r="H179" s="5"/>
      <c r="I179" s="198"/>
      <c r="J179" s="198"/>
      <c r="K179" s="4"/>
      <c r="L179" s="4"/>
      <c r="M179" s="4"/>
      <c r="N179" s="5"/>
      <c r="O179" s="506"/>
      <c r="P179" s="206"/>
      <c r="Q179" s="31"/>
      <c r="R179" s="31"/>
      <c r="S179" s="31"/>
      <c r="T179" s="32"/>
      <c r="U179" s="198"/>
      <c r="V179" s="198"/>
      <c r="W179" s="4"/>
      <c r="X179" s="4"/>
      <c r="Y179" s="4"/>
      <c r="Z179" s="5"/>
      <c r="AA179" s="198"/>
      <c r="AB179" s="198"/>
      <c r="AC179" s="4"/>
      <c r="AD179" s="4"/>
      <c r="AE179" s="4"/>
      <c r="AF179" s="5"/>
      <c r="AG179" s="506"/>
      <c r="AH179" s="206"/>
      <c r="AI179" s="31"/>
      <c r="AJ179" s="31"/>
      <c r="AK179" s="31"/>
      <c r="AL179" s="32"/>
      <c r="AM179" s="198"/>
      <c r="AN179" s="198"/>
      <c r="AO179" s="4"/>
      <c r="AP179" s="4"/>
      <c r="AQ179" s="4"/>
      <c r="AR179" s="5"/>
      <c r="AS179" s="198"/>
      <c r="AT179" s="198"/>
      <c r="AU179" s="4"/>
      <c r="AV179" s="4"/>
      <c r="AW179" s="4"/>
      <c r="AX179" s="5"/>
      <c r="AY179" s="506"/>
      <c r="AZ179" s="206"/>
      <c r="BA179" s="31"/>
      <c r="BB179" s="31"/>
      <c r="BC179" s="31"/>
      <c r="BD179" s="32"/>
      <c r="BE179" s="198"/>
      <c r="BF179" s="198"/>
      <c r="BG179" s="4"/>
      <c r="BH179" s="4"/>
      <c r="BI179" s="4"/>
      <c r="BJ179" s="5"/>
      <c r="BK179" s="198"/>
      <c r="BL179" s="198"/>
      <c r="BM179" s="4"/>
      <c r="BN179" s="4"/>
      <c r="BO179" s="4"/>
      <c r="BP179" s="5"/>
      <c r="BQ179" s="506"/>
      <c r="BR179" s="206"/>
      <c r="BS179" s="31"/>
      <c r="BT179" s="31"/>
      <c r="BU179" s="31"/>
      <c r="BV179" s="32"/>
      <c r="BW179" s="198"/>
      <c r="BX179" s="206"/>
      <c r="BY179" s="31"/>
      <c r="BZ179" s="31"/>
      <c r="CA179" s="31"/>
      <c r="CB179" s="32"/>
      <c r="CC179" s="506"/>
      <c r="CD179" s="198"/>
      <c r="CE179" s="4"/>
      <c r="CF179" s="4"/>
      <c r="CG179" s="4"/>
      <c r="CH179" s="5"/>
      <c r="CI179" s="198"/>
      <c r="CJ179" s="198"/>
      <c r="CK179" s="4"/>
      <c r="CL179" s="4"/>
      <c r="CM179" s="4"/>
      <c r="CN179" s="5"/>
      <c r="CO179" s="506"/>
      <c r="CP179" s="206"/>
      <c r="CQ179" s="31"/>
      <c r="CR179" s="31"/>
      <c r="CS179" s="31"/>
      <c r="CT179" s="32"/>
      <c r="CU179" s="506"/>
      <c r="CV179" s="206"/>
      <c r="CW179" s="31"/>
      <c r="CX179" s="31"/>
      <c r="CY179" s="31"/>
      <c r="CZ179" s="32"/>
      <c r="DA179" s="506"/>
      <c r="DB179" s="206"/>
      <c r="DC179" s="31"/>
      <c r="DD179" s="31"/>
      <c r="DE179" s="31"/>
      <c r="DF179" s="32"/>
      <c r="DG179" s="506"/>
      <c r="DH179" s="206"/>
      <c r="DI179" s="31"/>
      <c r="DJ179" s="31"/>
      <c r="DK179" s="31"/>
      <c r="DL179" s="32"/>
      <c r="DM179" s="506"/>
      <c r="DN179" s="206"/>
      <c r="DO179" s="31"/>
      <c r="DP179" s="31"/>
      <c r="DQ179" s="31"/>
      <c r="DR179" s="32"/>
      <c r="DS179" s="506"/>
      <c r="DT179" s="206"/>
      <c r="DU179" s="31"/>
      <c r="DV179" s="31"/>
      <c r="DW179" s="31"/>
      <c r="DX179" s="32"/>
      <c r="DY179" s="506"/>
      <c r="DZ179" s="206"/>
      <c r="EA179" s="31"/>
      <c r="EB179" s="31"/>
      <c r="EC179" s="31"/>
      <c r="ED179" s="32"/>
      <c r="EE179" s="506"/>
      <c r="EF179" s="206"/>
      <c r="EG179" s="31"/>
      <c r="EH179" s="31"/>
      <c r="EI179" s="31"/>
      <c r="EJ179" s="32"/>
      <c r="EK179" s="506"/>
      <c r="EL179" s="206"/>
      <c r="EM179" s="31"/>
      <c r="EN179" s="31"/>
      <c r="EO179" s="31"/>
      <c r="EP179" s="32"/>
      <c r="EQ179" s="506"/>
      <c r="ER179" s="206"/>
      <c r="ES179" s="31"/>
      <c r="ET179" s="31"/>
      <c r="EU179" s="31"/>
      <c r="EV179" s="32"/>
      <c r="EW179" s="506"/>
      <c r="EX179" s="206"/>
      <c r="EY179" s="31"/>
      <c r="EZ179" s="31"/>
      <c r="FA179" s="31"/>
      <c r="FB179" s="32"/>
      <c r="FC179" s="506"/>
      <c r="FD179" s="206"/>
      <c r="FE179" s="31"/>
      <c r="FF179" s="31"/>
      <c r="FG179" s="31"/>
      <c r="FH179" s="32"/>
      <c r="FI179" s="506"/>
      <c r="FJ179" s="206"/>
      <c r="FK179" s="31"/>
      <c r="FL179" s="31"/>
      <c r="FM179" s="31"/>
      <c r="FN179" s="32"/>
      <c r="FO179" s="506"/>
      <c r="FP179" s="206"/>
      <c r="FQ179" s="31"/>
      <c r="FR179" s="31"/>
      <c r="FS179" s="31"/>
      <c r="FT179" s="32"/>
      <c r="FU179" s="506"/>
      <c r="FV179" s="206"/>
      <c r="FW179" s="31"/>
      <c r="FX179" s="31"/>
      <c r="FY179" s="31"/>
      <c r="FZ179" s="32"/>
      <c r="GA179" s="506"/>
      <c r="GB179" s="206"/>
      <c r="GC179" s="31"/>
      <c r="GD179" s="31"/>
      <c r="GE179" s="31"/>
      <c r="GF179" s="32"/>
      <c r="GG179" s="506"/>
      <c r="GH179" s="206"/>
      <c r="GI179" s="31"/>
      <c r="GJ179" s="31"/>
      <c r="GK179" s="31"/>
      <c r="GL179" s="32"/>
      <c r="GM179" s="198"/>
      <c r="GN179" s="206"/>
      <c r="GO179" s="31"/>
      <c r="GP179" s="31"/>
      <c r="GQ179" s="31"/>
      <c r="GR179" s="32"/>
      <c r="GS179" s="506"/>
      <c r="GT179" s="206"/>
      <c r="GU179" s="31"/>
      <c r="GV179" s="31"/>
      <c r="GW179" s="31"/>
      <c r="GX179" s="32"/>
      <c r="GY179" s="506"/>
      <c r="GZ179" s="206"/>
      <c r="HA179" s="31"/>
      <c r="HB179" s="31"/>
      <c r="HC179" s="31"/>
      <c r="HD179" s="32"/>
      <c r="HE179" s="506"/>
      <c r="HF179" s="206"/>
      <c r="HG179" s="31"/>
      <c r="HH179" s="31"/>
      <c r="HI179" s="31"/>
      <c r="HJ179" s="32"/>
      <c r="HK179" s="506"/>
      <c r="HL179" s="206"/>
      <c r="HM179" s="31"/>
      <c r="HN179" s="31"/>
      <c r="HO179" s="31"/>
      <c r="HP179" s="32"/>
      <c r="HQ179" s="506"/>
      <c r="HR179" s="206"/>
      <c r="HS179" s="31"/>
      <c r="HT179" s="31"/>
      <c r="HU179" s="31"/>
      <c r="HV179" s="32"/>
      <c r="HW179" s="506"/>
      <c r="HX179" s="206"/>
      <c r="HY179" s="31"/>
      <c r="HZ179" s="31"/>
      <c r="IA179" s="31"/>
      <c r="IB179" s="32"/>
      <c r="IC179" s="506"/>
      <c r="ID179" s="206"/>
      <c r="IE179" s="31"/>
      <c r="IF179" s="31"/>
      <c r="IG179" s="31"/>
      <c r="IH179" s="32"/>
      <c r="II179" s="506"/>
      <c r="IJ179" s="206"/>
      <c r="IK179" s="31"/>
      <c r="IL179" s="31"/>
      <c r="IM179" s="31"/>
      <c r="IN179" s="32"/>
      <c r="IO179" s="506"/>
      <c r="IP179" s="206"/>
      <c r="IQ179" s="31"/>
      <c r="IR179" s="31"/>
      <c r="IS179" s="31"/>
      <c r="IT179" s="32"/>
    </row>
    <row r="180" spans="1:254" ht="15.6" x14ac:dyDescent="0.3">
      <c r="A180" s="673" t="s">
        <v>1854</v>
      </c>
      <c r="B180" s="673"/>
      <c r="C180" s="673"/>
      <c r="D180" s="673"/>
      <c r="E180" s="673"/>
      <c r="F180" s="673"/>
      <c r="G180" s="673"/>
      <c r="H180" s="673"/>
      <c r="I180" s="673"/>
      <c r="J180" s="673"/>
      <c r="K180" s="673"/>
      <c r="L180" s="673"/>
      <c r="M180" s="673"/>
      <c r="N180" s="673"/>
      <c r="O180" s="535"/>
      <c r="P180" s="535"/>
      <c r="Q180" s="535"/>
      <c r="R180" s="535"/>
      <c r="S180" s="535"/>
      <c r="T180" s="535"/>
      <c r="U180" s="580"/>
      <c r="V180" s="580"/>
      <c r="W180" s="580"/>
      <c r="X180" s="580"/>
      <c r="Y180" s="580"/>
      <c r="Z180" s="580"/>
      <c r="AA180" s="580"/>
      <c r="AB180" s="580"/>
      <c r="AC180" s="580"/>
      <c r="AD180" s="580"/>
      <c r="AE180" s="580"/>
      <c r="AF180" s="580"/>
      <c r="AG180" s="580"/>
      <c r="AH180" s="580"/>
      <c r="AI180" s="580"/>
      <c r="AJ180" s="580"/>
      <c r="AK180" s="580"/>
      <c r="AL180" s="580"/>
      <c r="AM180" s="535"/>
      <c r="AN180" s="535"/>
      <c r="AO180" s="535"/>
      <c r="AP180" s="535"/>
      <c r="AQ180" s="535"/>
      <c r="AR180" s="535"/>
      <c r="AS180" s="535"/>
      <c r="AT180" s="535"/>
      <c r="AU180" s="535"/>
      <c r="AV180" s="535"/>
      <c r="AW180" s="535"/>
      <c r="AX180" s="535"/>
      <c r="AY180" s="535"/>
      <c r="AZ180" s="535"/>
      <c r="BA180" s="535"/>
      <c r="BB180" s="535"/>
      <c r="BC180" s="535"/>
      <c r="BD180" s="535"/>
      <c r="BE180" s="535"/>
      <c r="BF180" s="535"/>
      <c r="BG180" s="535"/>
      <c r="BH180" s="535"/>
      <c r="BI180" s="535"/>
      <c r="BJ180" s="535"/>
      <c r="BK180" s="535"/>
      <c r="BL180" s="535"/>
      <c r="BM180" s="535"/>
      <c r="BN180" s="535"/>
      <c r="BO180" s="535"/>
      <c r="BP180" s="535"/>
      <c r="BQ180" s="535"/>
      <c r="BR180" s="535"/>
      <c r="BS180" s="535"/>
      <c r="BT180" s="535"/>
      <c r="BU180" s="535"/>
      <c r="BV180" s="535"/>
      <c r="BW180" s="495"/>
      <c r="BX180" s="515"/>
      <c r="CC180" s="535"/>
      <c r="CD180" s="535"/>
      <c r="CE180" s="535"/>
      <c r="CF180" s="535"/>
      <c r="CG180" s="535"/>
      <c r="CH180" s="535"/>
      <c r="CI180" s="535"/>
      <c r="CJ180" s="535"/>
      <c r="CK180" s="535"/>
      <c r="CL180" s="535"/>
      <c r="CM180" s="535"/>
      <c r="CN180" s="535"/>
      <c r="CO180" s="535"/>
      <c r="CP180" s="535"/>
      <c r="CQ180" s="535"/>
      <c r="CR180" s="535"/>
      <c r="CS180" s="535"/>
      <c r="CT180" s="535"/>
      <c r="CU180" s="495"/>
      <c r="CV180" s="495"/>
      <c r="DA180" s="495"/>
      <c r="DB180" s="495"/>
      <c r="DG180" s="495"/>
      <c r="DH180" s="495"/>
      <c r="DM180" s="495"/>
      <c r="DN180" s="495"/>
    </row>
    <row r="181" spans="1:254" ht="12.9" customHeight="1" x14ac:dyDescent="0.2">
      <c r="A181" s="509" t="s">
        <v>2012</v>
      </c>
      <c r="B181" s="494"/>
      <c r="C181" s="675" t="str">
        <f>+C1</f>
        <v>Seventh</v>
      </c>
      <c r="D181" s="676"/>
      <c r="E181" s="676"/>
      <c r="F181" s="676"/>
      <c r="G181" s="676"/>
      <c r="H181" s="677"/>
      <c r="I181" s="675" t="str">
        <f>+I1</f>
        <v>Eighth</v>
      </c>
      <c r="J181" s="676"/>
      <c r="K181" s="676"/>
      <c r="L181" s="676"/>
      <c r="M181" s="676"/>
      <c r="N181" s="677"/>
      <c r="O181" s="675" t="str">
        <f>+O1</f>
        <v>Ninth</v>
      </c>
      <c r="P181" s="676"/>
      <c r="Q181" s="676"/>
      <c r="R181" s="676"/>
      <c r="S181" s="676"/>
      <c r="T181" s="677"/>
      <c r="U181" s="675" t="str">
        <f>+U1</f>
        <v>Tenth</v>
      </c>
      <c r="V181" s="676"/>
      <c r="W181" s="676"/>
      <c r="X181" s="676"/>
      <c r="Y181" s="676"/>
      <c r="Z181" s="677"/>
      <c r="AA181" s="675" t="str">
        <f>+AA1</f>
        <v>Eleventh</v>
      </c>
      <c r="AB181" s="676"/>
      <c r="AC181" s="676"/>
      <c r="AD181" s="676"/>
      <c r="AE181" s="676"/>
      <c r="AF181" s="677"/>
      <c r="AG181" s="675" t="str">
        <f>+AG1</f>
        <v>Twelfth</v>
      </c>
      <c r="AH181" s="676"/>
      <c r="AI181" s="676"/>
      <c r="AJ181" s="676"/>
      <c r="AK181" s="676"/>
      <c r="AL181" s="677"/>
      <c r="AM181" s="675" t="str">
        <f>+AM1</f>
        <v>Thirteenth</v>
      </c>
      <c r="AN181" s="676"/>
      <c r="AO181" s="676"/>
      <c r="AP181" s="676"/>
      <c r="AQ181" s="676"/>
      <c r="AR181" s="677"/>
      <c r="AS181" s="581"/>
      <c r="AT181" s="582"/>
      <c r="AU181" s="582"/>
      <c r="AV181" s="582"/>
      <c r="AW181" s="582"/>
      <c r="AX181" s="582"/>
      <c r="AY181" s="582"/>
      <c r="AZ181" s="582"/>
      <c r="BA181" s="582"/>
      <c r="BB181" s="582"/>
      <c r="BC181" s="582"/>
      <c r="BD181" s="582"/>
      <c r="BE181" s="582"/>
      <c r="BF181" s="582"/>
      <c r="BG181" s="582"/>
      <c r="BH181" s="582"/>
      <c r="BI181" s="582"/>
      <c r="BJ181" s="582"/>
      <c r="BK181" s="582"/>
      <c r="BL181" s="582"/>
      <c r="BM181" s="582"/>
      <c r="BN181" s="582"/>
      <c r="BO181" s="582"/>
      <c r="BP181" s="582"/>
      <c r="BQ181" s="582"/>
      <c r="BR181" s="582"/>
      <c r="BS181" s="582"/>
      <c r="BT181" s="582"/>
      <c r="BU181" s="582"/>
      <c r="BV181" s="582"/>
      <c r="BW181" s="582"/>
      <c r="BX181" s="582"/>
      <c r="BY181" s="582"/>
      <c r="BZ181" s="582"/>
      <c r="CA181" s="582"/>
      <c r="CB181" s="582"/>
      <c r="CC181" s="582"/>
      <c r="CD181" s="582"/>
      <c r="CE181" s="582"/>
      <c r="CF181" s="582"/>
      <c r="CG181" s="582"/>
      <c r="CH181" s="582"/>
      <c r="CI181" s="582"/>
      <c r="CJ181" s="582"/>
      <c r="CK181" s="582"/>
      <c r="CL181" s="582"/>
      <c r="CM181" s="582"/>
      <c r="CN181" s="582"/>
      <c r="CO181" s="582"/>
      <c r="CP181" s="582"/>
      <c r="CQ181" s="582"/>
      <c r="CR181" s="582"/>
      <c r="CS181" s="582"/>
      <c r="CT181" s="582"/>
      <c r="CU181" s="582"/>
      <c r="CV181" s="582"/>
      <c r="CW181" s="582"/>
      <c r="CX181" s="582"/>
      <c r="CY181" s="582"/>
      <c r="CZ181" s="582"/>
      <c r="DA181" s="582"/>
      <c r="DB181" s="582"/>
      <c r="DC181" s="582"/>
      <c r="DD181" s="582"/>
      <c r="DE181" s="582"/>
      <c r="DF181" s="582"/>
      <c r="DG181" s="582"/>
      <c r="DH181" s="582"/>
      <c r="DI181" s="582"/>
      <c r="DJ181" s="582"/>
      <c r="DK181" s="582"/>
      <c r="DL181" s="582"/>
      <c r="DM181" s="582"/>
      <c r="DN181" s="582"/>
      <c r="DO181" s="582"/>
      <c r="DP181" s="582"/>
      <c r="DQ181" s="582"/>
      <c r="DR181" s="582"/>
    </row>
    <row r="182" spans="1:254" ht="12.9" customHeight="1" x14ac:dyDescent="0.2">
      <c r="A182" s="496"/>
      <c r="B182" s="9"/>
      <c r="C182" s="521" t="s">
        <v>1855</v>
      </c>
      <c r="D182" s="498"/>
      <c r="E182" s="4" t="s">
        <v>2017</v>
      </c>
      <c r="F182" s="4" t="s">
        <v>2018</v>
      </c>
      <c r="G182" s="4" t="s">
        <v>2019</v>
      </c>
      <c r="H182" s="5" t="s">
        <v>2020</v>
      </c>
      <c r="I182" s="521"/>
      <c r="J182" s="498"/>
      <c r="K182" s="4" t="s">
        <v>2017</v>
      </c>
      <c r="L182" s="4" t="s">
        <v>2018</v>
      </c>
      <c r="M182" s="4" t="s">
        <v>2019</v>
      </c>
      <c r="N182" s="5" t="s">
        <v>2020</v>
      </c>
      <c r="O182" s="521"/>
      <c r="P182" s="498"/>
      <c r="Q182" s="4" t="s">
        <v>2017</v>
      </c>
      <c r="R182" s="4" t="s">
        <v>2018</v>
      </c>
      <c r="S182" s="4" t="s">
        <v>2019</v>
      </c>
      <c r="T182" s="5" t="s">
        <v>2020</v>
      </c>
      <c r="U182" s="521"/>
      <c r="V182" s="498"/>
      <c r="W182" s="4" t="s">
        <v>2017</v>
      </c>
      <c r="X182" s="4" t="s">
        <v>2018</v>
      </c>
      <c r="Y182" s="4" t="s">
        <v>2019</v>
      </c>
      <c r="Z182" s="5" t="s">
        <v>2020</v>
      </c>
      <c r="AA182" s="521"/>
      <c r="AB182" s="498"/>
      <c r="AC182" s="4" t="s">
        <v>2017</v>
      </c>
      <c r="AD182" s="4" t="s">
        <v>2018</v>
      </c>
      <c r="AE182" s="4" t="s">
        <v>2019</v>
      </c>
      <c r="AF182" s="5" t="s">
        <v>2020</v>
      </c>
      <c r="AG182" s="521"/>
      <c r="AH182" s="498"/>
      <c r="AI182" s="4" t="s">
        <v>2017</v>
      </c>
      <c r="AJ182" s="4" t="s">
        <v>2018</v>
      </c>
      <c r="AK182" s="4" t="s">
        <v>2019</v>
      </c>
      <c r="AL182" s="5" t="s">
        <v>2020</v>
      </c>
      <c r="AM182" s="521"/>
      <c r="AN182" s="498"/>
      <c r="AO182" s="4" t="s">
        <v>2017</v>
      </c>
      <c r="AP182" s="4" t="s">
        <v>2018</v>
      </c>
      <c r="AQ182" s="4" t="s">
        <v>2019</v>
      </c>
      <c r="AR182" s="5" t="s">
        <v>2020</v>
      </c>
      <c r="AS182" s="280"/>
      <c r="AT182" s="280"/>
      <c r="AU182" s="2"/>
      <c r="AV182" s="2"/>
      <c r="AW182" s="2"/>
      <c r="AX182" s="2"/>
      <c r="AY182" s="280"/>
      <c r="AZ182" s="280"/>
      <c r="BA182" s="2"/>
      <c r="BB182" s="2"/>
      <c r="BC182" s="2"/>
      <c r="BD182" s="2"/>
      <c r="BE182" s="536"/>
      <c r="BF182" s="280"/>
      <c r="BG182" s="2"/>
      <c r="BH182" s="2"/>
      <c r="BI182" s="2"/>
      <c r="BJ182" s="2"/>
      <c r="BK182" s="280"/>
      <c r="BL182" s="280"/>
      <c r="BM182" s="2"/>
      <c r="BN182" s="2"/>
      <c r="BO182" s="2"/>
      <c r="BP182" s="2"/>
      <c r="BQ182" s="280"/>
      <c r="BR182" s="280"/>
      <c r="BS182" s="2"/>
      <c r="BT182" s="2"/>
      <c r="BU182" s="2"/>
      <c r="BV182" s="2"/>
      <c r="BW182" s="280"/>
      <c r="BX182" s="280"/>
      <c r="BY182" s="2"/>
      <c r="BZ182" s="2"/>
      <c r="CA182" s="2"/>
      <c r="CB182" s="2"/>
      <c r="CC182" s="536"/>
      <c r="CD182" s="280"/>
      <c r="CE182" s="2"/>
      <c r="CF182" s="2"/>
      <c r="CG182" s="2"/>
      <c r="CH182" s="2"/>
      <c r="CI182" s="280"/>
      <c r="CJ182" s="280"/>
      <c r="CK182" s="2"/>
      <c r="CL182" s="2"/>
      <c r="CM182" s="2"/>
      <c r="CN182" s="2"/>
      <c r="CO182" s="280"/>
      <c r="CP182" s="280"/>
      <c r="CQ182" s="2"/>
      <c r="CR182" s="2"/>
      <c r="CS182" s="2"/>
      <c r="CT182" s="2"/>
      <c r="CU182" s="280"/>
      <c r="CV182" s="280"/>
      <c r="CW182" s="2"/>
      <c r="CX182" s="2"/>
      <c r="CY182" s="2"/>
      <c r="CZ182" s="2"/>
      <c r="DA182" s="280"/>
      <c r="DB182" s="280"/>
      <c r="DC182" s="2"/>
      <c r="DD182" s="2"/>
      <c r="DE182" s="2"/>
      <c r="DF182" s="2"/>
      <c r="DG182" s="280"/>
      <c r="DH182" s="280"/>
      <c r="DI182" s="2"/>
      <c r="DJ182" s="2"/>
      <c r="DK182" s="2"/>
      <c r="DL182" s="2"/>
      <c r="DM182" s="280"/>
      <c r="DN182" s="280"/>
      <c r="DO182" s="2"/>
      <c r="DP182" s="2"/>
      <c r="DQ182" s="2"/>
      <c r="DR182" s="2"/>
    </row>
    <row r="183" spans="1:254" ht="12.9" customHeight="1" x14ac:dyDescent="0.2">
      <c r="A183" s="517" t="str">
        <f>+'Past Quartets 1st - 3rd Place'!A194</f>
        <v>1991 P</v>
      </c>
      <c r="B183" s="517">
        <f>+'Past Quartets 1st - 3rd Place'!B194</f>
        <v>5</v>
      </c>
      <c r="C183" s="197" t="s">
        <v>3215</v>
      </c>
      <c r="D183" s="197" t="s">
        <v>3215</v>
      </c>
      <c r="E183" s="7" t="s">
        <v>3215</v>
      </c>
      <c r="F183" s="2" t="s">
        <v>3215</v>
      </c>
      <c r="G183" s="2" t="s">
        <v>3215</v>
      </c>
      <c r="H183" s="3" t="s">
        <v>3215</v>
      </c>
      <c r="I183" s="197" t="s">
        <v>3215</v>
      </c>
      <c r="J183" s="197" t="s">
        <v>3215</v>
      </c>
      <c r="K183" s="7" t="s">
        <v>3215</v>
      </c>
      <c r="L183" s="2" t="s">
        <v>3215</v>
      </c>
      <c r="M183" s="2" t="s">
        <v>3215</v>
      </c>
      <c r="N183" s="3" t="s">
        <v>3215</v>
      </c>
      <c r="O183" s="197" t="s">
        <v>3215</v>
      </c>
      <c r="P183" s="197" t="s">
        <v>3215</v>
      </c>
      <c r="Q183" s="7" t="s">
        <v>3215</v>
      </c>
      <c r="R183" s="2" t="s">
        <v>3215</v>
      </c>
      <c r="S183" s="2" t="s">
        <v>3215</v>
      </c>
      <c r="T183" s="3" t="s">
        <v>3215</v>
      </c>
      <c r="U183" s="197" t="s">
        <v>3215</v>
      </c>
      <c r="V183" s="197" t="s">
        <v>3215</v>
      </c>
      <c r="W183" s="7" t="s">
        <v>3215</v>
      </c>
      <c r="X183" s="2" t="s">
        <v>3215</v>
      </c>
      <c r="Y183" s="2" t="s">
        <v>3215</v>
      </c>
      <c r="Z183" s="3" t="s">
        <v>3215</v>
      </c>
      <c r="AA183" s="197" t="s">
        <v>3215</v>
      </c>
      <c r="AB183" s="197" t="s">
        <v>3215</v>
      </c>
      <c r="AC183" s="7" t="s">
        <v>3215</v>
      </c>
      <c r="AD183" s="2" t="s">
        <v>3215</v>
      </c>
      <c r="AE183" s="2" t="s">
        <v>3215</v>
      </c>
      <c r="AF183" s="3" t="s">
        <v>3215</v>
      </c>
      <c r="AG183" s="197" t="s">
        <v>3215</v>
      </c>
      <c r="AH183" s="197" t="s">
        <v>3215</v>
      </c>
      <c r="AI183" s="7" t="s">
        <v>3215</v>
      </c>
      <c r="AJ183" s="2" t="s">
        <v>3215</v>
      </c>
      <c r="AK183" s="2" t="s">
        <v>3215</v>
      </c>
      <c r="AL183" s="3" t="s">
        <v>3215</v>
      </c>
      <c r="AM183" s="197" t="s">
        <v>3215</v>
      </c>
      <c r="AN183" s="197" t="s">
        <v>3215</v>
      </c>
      <c r="AO183" s="7" t="s">
        <v>3215</v>
      </c>
      <c r="AP183" s="2" t="s">
        <v>3215</v>
      </c>
      <c r="AQ183" s="2" t="s">
        <v>3215</v>
      </c>
      <c r="AR183" s="3" t="s">
        <v>3215</v>
      </c>
      <c r="AS183" s="280"/>
      <c r="AT183" s="280"/>
      <c r="AU183" s="2"/>
      <c r="AV183" s="2"/>
      <c r="AW183" s="2"/>
      <c r="AX183" s="2"/>
      <c r="AY183" s="280"/>
      <c r="AZ183" s="280"/>
      <c r="BA183" s="2"/>
      <c r="BB183" s="2"/>
      <c r="BC183" s="2"/>
      <c r="BD183" s="2"/>
      <c r="BE183" s="280"/>
      <c r="BF183" s="280"/>
      <c r="BG183" s="2"/>
      <c r="BH183" s="2"/>
      <c r="BI183" s="2"/>
      <c r="BJ183" s="2"/>
      <c r="BK183" s="280"/>
      <c r="BL183" s="280"/>
      <c r="BM183" s="2"/>
      <c r="BN183" s="2"/>
      <c r="BO183" s="2"/>
      <c r="BP183" s="2"/>
      <c r="BQ183" s="280"/>
      <c r="BR183" s="280"/>
      <c r="BS183" s="2"/>
      <c r="BT183" s="2"/>
      <c r="BU183" s="2"/>
      <c r="BV183" s="2"/>
      <c r="BW183" s="280"/>
      <c r="BX183" s="280"/>
      <c r="BY183" s="2"/>
      <c r="BZ183" s="2"/>
      <c r="CA183" s="2"/>
      <c r="CB183" s="2"/>
      <c r="CC183" s="280"/>
      <c r="CD183" s="280"/>
      <c r="CE183" s="2"/>
      <c r="CF183" s="2"/>
      <c r="CG183" s="2"/>
      <c r="CH183" s="2"/>
      <c r="CI183" s="280"/>
      <c r="CJ183" s="280"/>
      <c r="CK183" s="2"/>
      <c r="CL183" s="2"/>
      <c r="CM183" s="2"/>
      <c r="CN183" s="2"/>
      <c r="CO183" s="280"/>
      <c r="CP183" s="280"/>
      <c r="CQ183" s="2"/>
      <c r="CR183" s="2"/>
      <c r="CS183" s="2"/>
      <c r="CT183" s="2"/>
      <c r="CU183" s="280"/>
      <c r="CV183" s="280"/>
      <c r="CW183" s="2"/>
      <c r="CX183" s="2"/>
      <c r="CY183" s="2"/>
      <c r="CZ183" s="2"/>
      <c r="DA183" s="280"/>
      <c r="DB183" s="280"/>
      <c r="DC183" s="2"/>
      <c r="DD183" s="2"/>
      <c r="DE183" s="2"/>
      <c r="DF183" s="2"/>
      <c r="DG183" s="280"/>
      <c r="DH183" s="280"/>
      <c r="DI183" s="2"/>
      <c r="DJ183" s="2"/>
      <c r="DK183" s="2"/>
      <c r="DL183" s="2"/>
      <c r="DM183" s="280"/>
      <c r="DN183" s="280"/>
      <c r="DO183" s="2"/>
      <c r="DP183" s="2"/>
      <c r="DQ183" s="2"/>
      <c r="DR183" s="2"/>
    </row>
    <row r="184" spans="1:254" ht="12.9" customHeight="1" x14ac:dyDescent="0.2">
      <c r="A184" s="505" t="str">
        <f>+'Past Quartets 1st - 3rd Place'!A195</f>
        <v>1992 P</v>
      </c>
      <c r="B184" s="505">
        <f>+'Past Quartets 1st - 3rd Place'!B195</f>
        <v>2</v>
      </c>
      <c r="C184" s="197" t="s">
        <v>3215</v>
      </c>
      <c r="D184" s="197" t="s">
        <v>3215</v>
      </c>
      <c r="E184" s="7" t="s">
        <v>3215</v>
      </c>
      <c r="F184" s="2" t="s">
        <v>3215</v>
      </c>
      <c r="G184" s="2" t="s">
        <v>3215</v>
      </c>
      <c r="H184" s="3" t="s">
        <v>3215</v>
      </c>
      <c r="I184" s="197" t="s">
        <v>3215</v>
      </c>
      <c r="J184" s="197" t="s">
        <v>3215</v>
      </c>
      <c r="K184" s="7" t="s">
        <v>3215</v>
      </c>
      <c r="L184" s="2" t="s">
        <v>3215</v>
      </c>
      <c r="M184" s="2" t="s">
        <v>3215</v>
      </c>
      <c r="N184" s="3" t="s">
        <v>3215</v>
      </c>
      <c r="O184" s="197" t="s">
        <v>3215</v>
      </c>
      <c r="P184" s="197" t="s">
        <v>3215</v>
      </c>
      <c r="Q184" s="7" t="s">
        <v>3215</v>
      </c>
      <c r="R184" s="2" t="s">
        <v>3215</v>
      </c>
      <c r="S184" s="2" t="s">
        <v>3215</v>
      </c>
      <c r="T184" s="3" t="s">
        <v>3215</v>
      </c>
      <c r="U184" s="197" t="s">
        <v>3215</v>
      </c>
      <c r="V184" s="197" t="s">
        <v>3215</v>
      </c>
      <c r="W184" s="7" t="s">
        <v>3215</v>
      </c>
      <c r="X184" s="2" t="s">
        <v>3215</v>
      </c>
      <c r="Y184" s="2" t="s">
        <v>3215</v>
      </c>
      <c r="Z184" s="3" t="s">
        <v>3215</v>
      </c>
      <c r="AA184" s="197" t="s">
        <v>3215</v>
      </c>
      <c r="AB184" s="197" t="s">
        <v>3215</v>
      </c>
      <c r="AC184" s="7" t="s">
        <v>3215</v>
      </c>
      <c r="AD184" s="2" t="s">
        <v>3215</v>
      </c>
      <c r="AE184" s="2" t="s">
        <v>3215</v>
      </c>
      <c r="AF184" s="3" t="s">
        <v>3215</v>
      </c>
      <c r="AG184" s="197" t="s">
        <v>3215</v>
      </c>
      <c r="AH184" s="197" t="s">
        <v>3215</v>
      </c>
      <c r="AI184" s="7" t="s">
        <v>3215</v>
      </c>
      <c r="AJ184" s="2" t="s">
        <v>3215</v>
      </c>
      <c r="AK184" s="2" t="s">
        <v>3215</v>
      </c>
      <c r="AL184" s="3" t="s">
        <v>3215</v>
      </c>
      <c r="AM184" s="197" t="s">
        <v>3215</v>
      </c>
      <c r="AN184" s="197" t="s">
        <v>3215</v>
      </c>
      <c r="AO184" s="7" t="s">
        <v>3215</v>
      </c>
      <c r="AP184" s="2" t="s">
        <v>3215</v>
      </c>
      <c r="AQ184" s="2" t="s">
        <v>3215</v>
      </c>
      <c r="AR184" s="3" t="s">
        <v>3215</v>
      </c>
      <c r="AS184" s="280"/>
      <c r="AT184" s="280"/>
      <c r="AU184" s="2"/>
      <c r="AV184" s="2"/>
      <c r="AW184" s="2"/>
      <c r="AX184" s="2"/>
      <c r="AY184" s="280"/>
      <c r="AZ184" s="280"/>
      <c r="BA184" s="2"/>
      <c r="BB184" s="2"/>
      <c r="BC184" s="2"/>
      <c r="BD184" s="2"/>
      <c r="BE184" s="280"/>
      <c r="BF184" s="280"/>
      <c r="BG184" s="2"/>
      <c r="BH184" s="2"/>
      <c r="BI184" s="2"/>
      <c r="BJ184" s="2"/>
      <c r="BK184" s="280"/>
      <c r="BL184" s="280"/>
      <c r="BM184" s="2"/>
      <c r="BN184" s="2"/>
      <c r="BO184" s="2"/>
      <c r="BP184" s="2"/>
      <c r="BQ184" s="280"/>
      <c r="BR184" s="280"/>
      <c r="BS184" s="2"/>
      <c r="BT184" s="2"/>
      <c r="BU184" s="2"/>
      <c r="BV184" s="2"/>
      <c r="BW184" s="280"/>
      <c r="BX184" s="280"/>
      <c r="BY184" s="2"/>
      <c r="BZ184" s="2"/>
      <c r="CA184" s="2"/>
      <c r="CB184" s="2"/>
      <c r="CC184" s="280"/>
      <c r="CD184" s="280"/>
      <c r="CE184" s="2"/>
      <c r="CF184" s="2"/>
      <c r="CG184" s="2"/>
      <c r="CH184" s="2"/>
      <c r="CI184" s="280"/>
      <c r="CJ184" s="280"/>
      <c r="CK184" s="2"/>
      <c r="CL184" s="2"/>
      <c r="CM184" s="2"/>
      <c r="CN184" s="2"/>
      <c r="CO184" s="280"/>
      <c r="CP184" s="280"/>
      <c r="CQ184" s="2"/>
      <c r="CR184" s="2"/>
      <c r="CS184" s="2"/>
      <c r="CT184" s="2"/>
      <c r="CU184" s="280"/>
      <c r="CV184" s="280"/>
      <c r="CW184" s="2"/>
      <c r="CX184" s="2"/>
      <c r="CY184" s="2"/>
      <c r="CZ184" s="2"/>
      <c r="DA184" s="280"/>
      <c r="DB184" s="280"/>
      <c r="DC184" s="2"/>
      <c r="DD184" s="2"/>
      <c r="DE184" s="2"/>
      <c r="DF184" s="2"/>
      <c r="DG184" s="280"/>
      <c r="DH184" s="280"/>
      <c r="DI184" s="2"/>
      <c r="DJ184" s="2"/>
      <c r="DK184" s="2"/>
      <c r="DL184" s="2"/>
      <c r="DM184" s="280"/>
      <c r="DN184" s="280"/>
      <c r="DO184" s="2"/>
      <c r="DP184" s="2"/>
      <c r="DQ184" s="2"/>
      <c r="DR184" s="2"/>
    </row>
    <row r="185" spans="1:254" ht="12.9" customHeight="1" x14ac:dyDescent="0.2">
      <c r="A185" s="505" t="str">
        <f>+'Past Quartets 1st - 3rd Place'!A196</f>
        <v>1993 P</v>
      </c>
      <c r="B185" s="505">
        <f>+'Past Quartets 1st - 3rd Place'!B196</f>
        <v>4</v>
      </c>
      <c r="C185" s="197" t="s">
        <v>3215</v>
      </c>
      <c r="D185" s="197" t="s">
        <v>3215</v>
      </c>
      <c r="E185" s="7" t="s">
        <v>3215</v>
      </c>
      <c r="F185" s="2" t="s">
        <v>3215</v>
      </c>
      <c r="G185" s="2" t="s">
        <v>3215</v>
      </c>
      <c r="H185" s="3" t="s">
        <v>3215</v>
      </c>
      <c r="I185" s="197" t="s">
        <v>3215</v>
      </c>
      <c r="J185" s="197" t="s">
        <v>3215</v>
      </c>
      <c r="K185" s="7" t="s">
        <v>3215</v>
      </c>
      <c r="L185" s="2" t="s">
        <v>3215</v>
      </c>
      <c r="M185" s="2" t="s">
        <v>3215</v>
      </c>
      <c r="N185" s="3" t="s">
        <v>3215</v>
      </c>
      <c r="O185" s="197" t="s">
        <v>3215</v>
      </c>
      <c r="P185" s="197" t="s">
        <v>3215</v>
      </c>
      <c r="Q185" s="7" t="s">
        <v>3215</v>
      </c>
      <c r="R185" s="2" t="s">
        <v>3215</v>
      </c>
      <c r="S185" s="2" t="s">
        <v>3215</v>
      </c>
      <c r="T185" s="3" t="s">
        <v>3215</v>
      </c>
      <c r="U185" s="197" t="s">
        <v>3215</v>
      </c>
      <c r="V185" s="197" t="s">
        <v>3215</v>
      </c>
      <c r="W185" s="7" t="s">
        <v>3215</v>
      </c>
      <c r="X185" s="2" t="s">
        <v>3215</v>
      </c>
      <c r="Y185" s="2" t="s">
        <v>3215</v>
      </c>
      <c r="Z185" s="3" t="s">
        <v>3215</v>
      </c>
      <c r="AA185" s="197" t="s">
        <v>3215</v>
      </c>
      <c r="AB185" s="197" t="s">
        <v>3215</v>
      </c>
      <c r="AC185" s="7" t="s">
        <v>3215</v>
      </c>
      <c r="AD185" s="2" t="s">
        <v>3215</v>
      </c>
      <c r="AE185" s="2" t="s">
        <v>3215</v>
      </c>
      <c r="AF185" s="3" t="s">
        <v>3215</v>
      </c>
      <c r="AG185" s="197" t="s">
        <v>3215</v>
      </c>
      <c r="AH185" s="197" t="s">
        <v>3215</v>
      </c>
      <c r="AI185" s="7" t="s">
        <v>3215</v>
      </c>
      <c r="AJ185" s="2" t="s">
        <v>3215</v>
      </c>
      <c r="AK185" s="2" t="s">
        <v>3215</v>
      </c>
      <c r="AL185" s="3" t="s">
        <v>3215</v>
      </c>
      <c r="AM185" s="197" t="s">
        <v>3215</v>
      </c>
      <c r="AN185" s="197" t="s">
        <v>3215</v>
      </c>
      <c r="AO185" s="7" t="s">
        <v>3215</v>
      </c>
      <c r="AP185" s="2" t="s">
        <v>3215</v>
      </c>
      <c r="AQ185" s="2" t="s">
        <v>3215</v>
      </c>
      <c r="AR185" s="3" t="s">
        <v>3215</v>
      </c>
      <c r="AS185" s="280"/>
      <c r="AT185" s="280"/>
      <c r="AU185" s="2"/>
      <c r="AV185" s="2"/>
      <c r="AW185" s="2"/>
      <c r="AX185" s="2"/>
      <c r="AY185" s="280"/>
      <c r="AZ185" s="280"/>
      <c r="BA185" s="2"/>
      <c r="BB185" s="2"/>
      <c r="BC185" s="2"/>
      <c r="BD185" s="2"/>
      <c r="BE185" s="280"/>
      <c r="BF185" s="280"/>
      <c r="BG185" s="2"/>
      <c r="BH185" s="2"/>
      <c r="BI185" s="2"/>
      <c r="BJ185" s="2"/>
      <c r="BK185" s="280"/>
      <c r="BL185" s="280"/>
      <c r="BM185" s="2"/>
      <c r="BN185" s="2"/>
      <c r="BO185" s="2"/>
      <c r="BP185" s="2"/>
      <c r="BQ185" s="280"/>
      <c r="BR185" s="280"/>
      <c r="BS185" s="2"/>
      <c r="BT185" s="2"/>
      <c r="BU185" s="2"/>
      <c r="BV185" s="2"/>
      <c r="BW185" s="280"/>
      <c r="BX185" s="280"/>
      <c r="BY185" s="2"/>
      <c r="BZ185" s="2"/>
      <c r="CA185" s="2"/>
      <c r="CB185" s="2"/>
      <c r="CC185" s="280"/>
      <c r="CD185" s="280"/>
      <c r="CE185" s="2"/>
      <c r="CF185" s="2"/>
      <c r="CG185" s="2"/>
      <c r="CH185" s="2"/>
      <c r="CI185" s="280"/>
      <c r="CJ185" s="280"/>
      <c r="CK185" s="2"/>
      <c r="CL185" s="2"/>
      <c r="CM185" s="2"/>
      <c r="CN185" s="2"/>
      <c r="CO185" s="280"/>
      <c r="CP185" s="280"/>
      <c r="CQ185" s="2"/>
      <c r="CR185" s="2"/>
      <c r="CS185" s="2"/>
      <c r="CT185" s="2"/>
      <c r="CU185" s="280"/>
      <c r="CV185" s="280"/>
      <c r="CW185" s="2"/>
      <c r="CX185" s="2"/>
      <c r="CY185" s="2"/>
      <c r="CZ185" s="2"/>
      <c r="DA185" s="280"/>
      <c r="DB185" s="280"/>
      <c r="DC185" s="2"/>
      <c r="DD185" s="2"/>
      <c r="DE185" s="2"/>
      <c r="DF185" s="2"/>
      <c r="DG185" s="280"/>
      <c r="DH185" s="280"/>
      <c r="DI185" s="2"/>
      <c r="DJ185" s="2"/>
      <c r="DK185" s="2"/>
      <c r="DL185" s="2"/>
      <c r="DM185" s="280"/>
      <c r="DN185" s="280"/>
      <c r="DO185" s="2"/>
      <c r="DP185" s="2"/>
      <c r="DQ185" s="2"/>
      <c r="DR185" s="2"/>
    </row>
    <row r="186" spans="1:254" ht="12.9" customHeight="1" x14ac:dyDescent="0.2">
      <c r="A186" s="505" t="str">
        <f>+'Past Quartets 1st - 3rd Place'!A197</f>
        <v>1994 P</v>
      </c>
      <c r="B186" s="505">
        <f>+'Past Quartets 1st - 3rd Place'!B197</f>
        <v>3</v>
      </c>
      <c r="C186" s="197" t="s">
        <v>3215</v>
      </c>
      <c r="D186" s="197" t="s">
        <v>3215</v>
      </c>
      <c r="E186" s="7" t="s">
        <v>3215</v>
      </c>
      <c r="F186" s="2" t="s">
        <v>3215</v>
      </c>
      <c r="G186" s="2" t="s">
        <v>3215</v>
      </c>
      <c r="H186" s="3" t="s">
        <v>3215</v>
      </c>
      <c r="I186" s="197" t="s">
        <v>3215</v>
      </c>
      <c r="J186" s="197" t="s">
        <v>3215</v>
      </c>
      <c r="K186" s="7" t="s">
        <v>3215</v>
      </c>
      <c r="L186" s="2" t="s">
        <v>3215</v>
      </c>
      <c r="M186" s="2" t="s">
        <v>3215</v>
      </c>
      <c r="N186" s="3" t="s">
        <v>3215</v>
      </c>
      <c r="O186" s="197" t="s">
        <v>3215</v>
      </c>
      <c r="P186" s="197" t="s">
        <v>3215</v>
      </c>
      <c r="Q186" s="7" t="s">
        <v>3215</v>
      </c>
      <c r="R186" s="2" t="s">
        <v>3215</v>
      </c>
      <c r="S186" s="2" t="s">
        <v>3215</v>
      </c>
      <c r="T186" s="3" t="s">
        <v>3215</v>
      </c>
      <c r="U186" s="197" t="s">
        <v>3215</v>
      </c>
      <c r="V186" s="197" t="s">
        <v>3215</v>
      </c>
      <c r="W186" s="7" t="s">
        <v>3215</v>
      </c>
      <c r="X186" s="2" t="s">
        <v>3215</v>
      </c>
      <c r="Y186" s="2" t="s">
        <v>3215</v>
      </c>
      <c r="Z186" s="3" t="s">
        <v>3215</v>
      </c>
      <c r="AA186" s="197" t="s">
        <v>3215</v>
      </c>
      <c r="AB186" s="197" t="s">
        <v>3215</v>
      </c>
      <c r="AC186" s="7" t="s">
        <v>3215</v>
      </c>
      <c r="AD186" s="2" t="s">
        <v>3215</v>
      </c>
      <c r="AE186" s="2" t="s">
        <v>3215</v>
      </c>
      <c r="AF186" s="3" t="s">
        <v>3215</v>
      </c>
      <c r="AG186" s="197" t="s">
        <v>3215</v>
      </c>
      <c r="AH186" s="197" t="s">
        <v>3215</v>
      </c>
      <c r="AI186" s="7" t="s">
        <v>3215</v>
      </c>
      <c r="AJ186" s="2" t="s">
        <v>3215</v>
      </c>
      <c r="AK186" s="2" t="s">
        <v>3215</v>
      </c>
      <c r="AL186" s="3" t="s">
        <v>3215</v>
      </c>
      <c r="AM186" s="197" t="s">
        <v>3215</v>
      </c>
      <c r="AN186" s="197" t="s">
        <v>3215</v>
      </c>
      <c r="AO186" s="7" t="s">
        <v>3215</v>
      </c>
      <c r="AP186" s="2" t="s">
        <v>3215</v>
      </c>
      <c r="AQ186" s="2" t="s">
        <v>3215</v>
      </c>
      <c r="AR186" s="3" t="s">
        <v>3215</v>
      </c>
      <c r="AS186" s="280"/>
      <c r="AT186" s="280"/>
      <c r="AU186" s="2"/>
      <c r="AV186" s="2"/>
      <c r="AW186" s="2"/>
      <c r="AX186" s="2"/>
      <c r="AY186" s="280"/>
      <c r="AZ186" s="280"/>
      <c r="BA186" s="2"/>
      <c r="BB186" s="2"/>
      <c r="BC186" s="2"/>
      <c r="BD186" s="2"/>
      <c r="BE186" s="280"/>
      <c r="BF186" s="280"/>
      <c r="BG186" s="2"/>
      <c r="BH186" s="2"/>
      <c r="BI186" s="2"/>
      <c r="BJ186" s="2"/>
      <c r="BK186" s="280"/>
      <c r="BL186" s="280"/>
      <c r="BM186" s="2"/>
      <c r="BN186" s="2"/>
      <c r="BO186" s="2"/>
      <c r="BP186" s="2"/>
      <c r="BQ186" s="280"/>
      <c r="BR186" s="280"/>
      <c r="BS186" s="2"/>
      <c r="BT186" s="2"/>
      <c r="BU186" s="2"/>
      <c r="BV186" s="2"/>
      <c r="BW186" s="280"/>
      <c r="BX186" s="280"/>
      <c r="BY186" s="2"/>
      <c r="BZ186" s="2"/>
      <c r="CA186" s="2"/>
      <c r="CB186" s="2"/>
      <c r="CC186" s="280"/>
      <c r="CD186" s="280"/>
      <c r="CE186" s="2"/>
      <c r="CF186" s="2"/>
      <c r="CG186" s="2"/>
      <c r="CH186" s="2"/>
      <c r="CI186" s="280"/>
      <c r="CJ186" s="280"/>
      <c r="CK186" s="2"/>
      <c r="CL186" s="2"/>
      <c r="CM186" s="2"/>
      <c r="CN186" s="2"/>
      <c r="CO186" s="280"/>
      <c r="CP186" s="280"/>
      <c r="CQ186" s="2"/>
      <c r="CR186" s="2"/>
      <c r="CS186" s="2"/>
      <c r="CT186" s="2"/>
      <c r="CU186" s="280"/>
      <c r="CV186" s="280"/>
      <c r="CW186" s="2"/>
      <c r="CX186" s="2"/>
      <c r="CY186" s="2"/>
      <c r="CZ186" s="2"/>
      <c r="DA186" s="280"/>
      <c r="DB186" s="280"/>
      <c r="DC186" s="2"/>
      <c r="DD186" s="2"/>
      <c r="DE186" s="2"/>
      <c r="DF186" s="2"/>
      <c r="DG186" s="280"/>
      <c r="DH186" s="280"/>
      <c r="DI186" s="2"/>
      <c r="DJ186" s="2"/>
      <c r="DK186" s="2"/>
      <c r="DL186" s="2"/>
      <c r="DM186" s="280"/>
      <c r="DN186" s="280"/>
      <c r="DO186" s="2"/>
      <c r="DP186" s="2"/>
      <c r="DQ186" s="2"/>
      <c r="DR186" s="2"/>
    </row>
    <row r="187" spans="1:254" ht="12.9" customHeight="1" x14ac:dyDescent="0.2">
      <c r="A187" s="505" t="str">
        <f>+'Past Quartets 1st - 3rd Place'!A198</f>
        <v>1995 P</v>
      </c>
      <c r="B187" s="505">
        <f>+'Past Quartets 1st - 3rd Place'!B198</f>
        <v>4</v>
      </c>
      <c r="C187" s="197" t="s">
        <v>3215</v>
      </c>
      <c r="D187" s="197" t="s">
        <v>3215</v>
      </c>
      <c r="E187" s="7" t="s">
        <v>3215</v>
      </c>
      <c r="F187" s="2" t="s">
        <v>3215</v>
      </c>
      <c r="G187" s="2" t="s">
        <v>3215</v>
      </c>
      <c r="H187" s="3" t="s">
        <v>3215</v>
      </c>
      <c r="I187" s="197" t="s">
        <v>3215</v>
      </c>
      <c r="J187" s="197" t="s">
        <v>3215</v>
      </c>
      <c r="K187" s="7" t="s">
        <v>3215</v>
      </c>
      <c r="L187" s="2" t="s">
        <v>3215</v>
      </c>
      <c r="M187" s="2" t="s">
        <v>3215</v>
      </c>
      <c r="N187" s="3" t="s">
        <v>3215</v>
      </c>
      <c r="O187" s="197" t="s">
        <v>3215</v>
      </c>
      <c r="P187" s="197" t="s">
        <v>3215</v>
      </c>
      <c r="Q187" s="7" t="s">
        <v>3215</v>
      </c>
      <c r="R187" s="2" t="s">
        <v>3215</v>
      </c>
      <c r="S187" s="2" t="s">
        <v>3215</v>
      </c>
      <c r="T187" s="3" t="s">
        <v>3215</v>
      </c>
      <c r="U187" s="197" t="s">
        <v>3215</v>
      </c>
      <c r="V187" s="197" t="s">
        <v>3215</v>
      </c>
      <c r="W187" s="7" t="s">
        <v>3215</v>
      </c>
      <c r="X187" s="2" t="s">
        <v>3215</v>
      </c>
      <c r="Y187" s="2" t="s">
        <v>3215</v>
      </c>
      <c r="Z187" s="3" t="s">
        <v>3215</v>
      </c>
      <c r="AA187" s="197" t="s">
        <v>3215</v>
      </c>
      <c r="AB187" s="197" t="s">
        <v>3215</v>
      </c>
      <c r="AC187" s="7" t="s">
        <v>3215</v>
      </c>
      <c r="AD187" s="2" t="s">
        <v>3215</v>
      </c>
      <c r="AE187" s="2" t="s">
        <v>3215</v>
      </c>
      <c r="AF187" s="3" t="s">
        <v>3215</v>
      </c>
      <c r="AG187" s="197" t="s">
        <v>3215</v>
      </c>
      <c r="AH187" s="197" t="s">
        <v>3215</v>
      </c>
      <c r="AI187" s="7" t="s">
        <v>3215</v>
      </c>
      <c r="AJ187" s="2" t="s">
        <v>3215</v>
      </c>
      <c r="AK187" s="2" t="s">
        <v>3215</v>
      </c>
      <c r="AL187" s="3" t="s">
        <v>3215</v>
      </c>
      <c r="AM187" s="197" t="s">
        <v>3215</v>
      </c>
      <c r="AN187" s="197" t="s">
        <v>3215</v>
      </c>
      <c r="AO187" s="7" t="s">
        <v>3215</v>
      </c>
      <c r="AP187" s="2" t="s">
        <v>3215</v>
      </c>
      <c r="AQ187" s="2" t="s">
        <v>3215</v>
      </c>
      <c r="AR187" s="3" t="s">
        <v>3215</v>
      </c>
      <c r="AS187" s="280"/>
      <c r="AT187" s="280"/>
      <c r="AU187" s="2"/>
      <c r="AV187" s="2"/>
      <c r="AW187" s="2"/>
      <c r="AX187" s="2"/>
      <c r="AY187" s="280"/>
      <c r="AZ187" s="280"/>
      <c r="BA187" s="2"/>
      <c r="BB187" s="2"/>
      <c r="BC187" s="2"/>
      <c r="BD187" s="2"/>
      <c r="BE187" s="280"/>
      <c r="BF187" s="280"/>
      <c r="BG187" s="2"/>
      <c r="BH187" s="2"/>
      <c r="BI187" s="2"/>
      <c r="BJ187" s="2"/>
      <c r="BK187" s="280"/>
      <c r="BL187" s="280"/>
      <c r="BM187" s="2"/>
      <c r="BN187" s="2"/>
      <c r="BO187" s="2"/>
      <c r="BP187" s="2"/>
      <c r="BQ187" s="280"/>
      <c r="BR187" s="280"/>
      <c r="BS187" s="2"/>
      <c r="BT187" s="2"/>
      <c r="BU187" s="2"/>
      <c r="BV187" s="2"/>
      <c r="BW187" s="280"/>
      <c r="BX187" s="280"/>
      <c r="BY187" s="2"/>
      <c r="BZ187" s="2"/>
      <c r="CA187" s="2"/>
      <c r="CB187" s="2"/>
      <c r="CC187" s="280"/>
      <c r="CD187" s="280"/>
      <c r="CE187" s="2"/>
      <c r="CF187" s="2"/>
      <c r="CG187" s="2"/>
      <c r="CH187" s="2"/>
      <c r="CI187" s="280"/>
      <c r="CJ187" s="280"/>
      <c r="CK187" s="2"/>
      <c r="CL187" s="2"/>
      <c r="CM187" s="2"/>
      <c r="CN187" s="2"/>
      <c r="CO187" s="280"/>
      <c r="CP187" s="280"/>
      <c r="CQ187" s="2"/>
      <c r="CR187" s="2"/>
      <c r="CS187" s="2"/>
      <c r="CT187" s="2"/>
      <c r="CU187" s="280"/>
      <c r="CV187" s="280"/>
      <c r="CW187" s="2"/>
      <c r="CX187" s="2"/>
      <c r="CY187" s="2"/>
      <c r="CZ187" s="2"/>
      <c r="DA187" s="280"/>
      <c r="DB187" s="280"/>
      <c r="DC187" s="2"/>
      <c r="DD187" s="2"/>
      <c r="DE187" s="2"/>
      <c r="DF187" s="2"/>
      <c r="DG187" s="280"/>
      <c r="DH187" s="280"/>
      <c r="DI187" s="2"/>
      <c r="DJ187" s="2"/>
      <c r="DK187" s="2"/>
      <c r="DL187" s="2"/>
      <c r="DM187" s="280"/>
      <c r="DN187" s="280"/>
      <c r="DO187" s="2"/>
      <c r="DP187" s="2"/>
      <c r="DQ187" s="2"/>
      <c r="DR187" s="2"/>
    </row>
    <row r="188" spans="1:254" ht="12.9" customHeight="1" x14ac:dyDescent="0.2">
      <c r="A188" s="505" t="str">
        <f>+'Past Quartets 1st - 3rd Place'!A199</f>
        <v>1996 P</v>
      </c>
      <c r="B188" s="505">
        <f>+'Past Quartets 1st - 3rd Place'!B199</f>
        <v>2</v>
      </c>
      <c r="C188" s="197" t="s">
        <v>3215</v>
      </c>
      <c r="D188" s="197" t="s">
        <v>3215</v>
      </c>
      <c r="E188" s="7" t="s">
        <v>3215</v>
      </c>
      <c r="F188" s="2" t="s">
        <v>3215</v>
      </c>
      <c r="G188" s="2" t="s">
        <v>3215</v>
      </c>
      <c r="H188" s="3" t="s">
        <v>3215</v>
      </c>
      <c r="I188" s="197" t="s">
        <v>3215</v>
      </c>
      <c r="J188" s="197" t="s">
        <v>3215</v>
      </c>
      <c r="K188" s="7" t="s">
        <v>3215</v>
      </c>
      <c r="L188" s="2" t="s">
        <v>3215</v>
      </c>
      <c r="M188" s="2" t="s">
        <v>3215</v>
      </c>
      <c r="N188" s="3" t="s">
        <v>3215</v>
      </c>
      <c r="O188" s="197" t="s">
        <v>3215</v>
      </c>
      <c r="P188" s="197" t="s">
        <v>3215</v>
      </c>
      <c r="Q188" s="7" t="s">
        <v>3215</v>
      </c>
      <c r="R188" s="2" t="s">
        <v>3215</v>
      </c>
      <c r="S188" s="2" t="s">
        <v>3215</v>
      </c>
      <c r="T188" s="3" t="s">
        <v>3215</v>
      </c>
      <c r="U188" s="197" t="s">
        <v>3215</v>
      </c>
      <c r="V188" s="197" t="s">
        <v>3215</v>
      </c>
      <c r="W188" s="7" t="s">
        <v>3215</v>
      </c>
      <c r="X188" s="2" t="s">
        <v>3215</v>
      </c>
      <c r="Y188" s="2" t="s">
        <v>3215</v>
      </c>
      <c r="Z188" s="3" t="s">
        <v>3215</v>
      </c>
      <c r="AA188" s="197" t="s">
        <v>3215</v>
      </c>
      <c r="AB188" s="197" t="s">
        <v>3215</v>
      </c>
      <c r="AC188" s="7" t="s">
        <v>3215</v>
      </c>
      <c r="AD188" s="2" t="s">
        <v>3215</v>
      </c>
      <c r="AE188" s="2" t="s">
        <v>3215</v>
      </c>
      <c r="AF188" s="3" t="s">
        <v>3215</v>
      </c>
      <c r="AG188" s="197" t="s">
        <v>3215</v>
      </c>
      <c r="AH188" s="197" t="s">
        <v>3215</v>
      </c>
      <c r="AI188" s="7" t="s">
        <v>3215</v>
      </c>
      <c r="AJ188" s="2" t="s">
        <v>3215</v>
      </c>
      <c r="AK188" s="2" t="s">
        <v>3215</v>
      </c>
      <c r="AL188" s="3" t="s">
        <v>3215</v>
      </c>
      <c r="AM188" s="197" t="s">
        <v>3215</v>
      </c>
      <c r="AN188" s="197" t="s">
        <v>3215</v>
      </c>
      <c r="AO188" s="7" t="s">
        <v>3215</v>
      </c>
      <c r="AP188" s="2" t="s">
        <v>3215</v>
      </c>
      <c r="AQ188" s="2" t="s">
        <v>3215</v>
      </c>
      <c r="AR188" s="3" t="s">
        <v>3215</v>
      </c>
      <c r="AS188" s="280"/>
      <c r="AT188" s="280"/>
      <c r="AU188" s="2"/>
      <c r="AV188" s="2"/>
      <c r="AW188" s="2"/>
      <c r="AX188" s="2"/>
      <c r="AY188" s="280"/>
      <c r="AZ188" s="280"/>
      <c r="BA188" s="2"/>
      <c r="BB188" s="2"/>
      <c r="BC188" s="2"/>
      <c r="BD188" s="2"/>
      <c r="BE188" s="280"/>
      <c r="BF188" s="280"/>
      <c r="BG188" s="2"/>
      <c r="BH188" s="2"/>
      <c r="BI188" s="2"/>
      <c r="BJ188" s="2"/>
      <c r="BK188" s="280"/>
      <c r="BL188" s="280"/>
      <c r="BM188" s="2"/>
      <c r="BN188" s="2"/>
      <c r="BO188" s="2"/>
      <c r="BP188" s="2"/>
      <c r="BQ188" s="280"/>
      <c r="BR188" s="280"/>
      <c r="BS188" s="2"/>
      <c r="BT188" s="2"/>
      <c r="BU188" s="2"/>
      <c r="BV188" s="2"/>
      <c r="BW188" s="280"/>
      <c r="BX188" s="280"/>
      <c r="BY188" s="2"/>
      <c r="BZ188" s="2"/>
      <c r="CA188" s="2"/>
      <c r="CB188" s="2"/>
      <c r="CC188" s="280"/>
      <c r="CD188" s="280"/>
      <c r="CE188" s="2"/>
      <c r="CF188" s="2"/>
      <c r="CG188" s="2"/>
      <c r="CH188" s="2"/>
      <c r="CI188" s="280"/>
      <c r="CJ188" s="280"/>
      <c r="CK188" s="2"/>
      <c r="CL188" s="2"/>
      <c r="CM188" s="2"/>
      <c r="CN188" s="2"/>
      <c r="CO188" s="280"/>
      <c r="CP188" s="280"/>
      <c r="CQ188" s="2"/>
      <c r="CR188" s="2"/>
      <c r="CS188" s="2"/>
      <c r="CT188" s="2"/>
      <c r="CU188" s="280"/>
      <c r="CV188" s="280"/>
      <c r="CW188" s="2"/>
      <c r="CX188" s="2"/>
      <c r="CY188" s="2"/>
      <c r="CZ188" s="2"/>
      <c r="DA188" s="280"/>
      <c r="DB188" s="280"/>
      <c r="DC188" s="2"/>
      <c r="DD188" s="2"/>
      <c r="DE188" s="2"/>
      <c r="DF188" s="2"/>
      <c r="DG188" s="280"/>
      <c r="DH188" s="280"/>
      <c r="DI188" s="2"/>
      <c r="DJ188" s="2"/>
      <c r="DK188" s="2"/>
      <c r="DL188" s="2"/>
      <c r="DM188" s="280"/>
      <c r="DN188" s="280"/>
      <c r="DO188" s="2"/>
      <c r="DP188" s="2"/>
      <c r="DQ188" s="2"/>
      <c r="DR188" s="2"/>
    </row>
    <row r="189" spans="1:254" ht="12.9" customHeight="1" x14ac:dyDescent="0.2">
      <c r="A189" s="505" t="str">
        <f>+'Past Quartets 1st - 3rd Place'!A200</f>
        <v>1997 P</v>
      </c>
      <c r="B189" s="505">
        <f>+'Past Quartets 1st - 3rd Place'!B200</f>
        <v>3</v>
      </c>
      <c r="C189" s="197" t="s">
        <v>3215</v>
      </c>
      <c r="D189" s="197" t="s">
        <v>3215</v>
      </c>
      <c r="E189" s="7" t="s">
        <v>3215</v>
      </c>
      <c r="F189" s="2" t="s">
        <v>3215</v>
      </c>
      <c r="G189" s="2" t="s">
        <v>3215</v>
      </c>
      <c r="H189" s="3" t="s">
        <v>3215</v>
      </c>
      <c r="I189" s="197" t="s">
        <v>3215</v>
      </c>
      <c r="J189" s="197" t="s">
        <v>3215</v>
      </c>
      <c r="K189" s="7" t="s">
        <v>3215</v>
      </c>
      <c r="L189" s="2" t="s">
        <v>3215</v>
      </c>
      <c r="M189" s="2" t="s">
        <v>3215</v>
      </c>
      <c r="N189" s="3" t="s">
        <v>3215</v>
      </c>
      <c r="O189" s="197" t="s">
        <v>3215</v>
      </c>
      <c r="P189" s="197" t="s">
        <v>3215</v>
      </c>
      <c r="Q189" s="7" t="s">
        <v>3215</v>
      </c>
      <c r="R189" s="2" t="s">
        <v>3215</v>
      </c>
      <c r="S189" s="2" t="s">
        <v>3215</v>
      </c>
      <c r="T189" s="3" t="s">
        <v>3215</v>
      </c>
      <c r="U189" s="197" t="s">
        <v>3215</v>
      </c>
      <c r="V189" s="197" t="s">
        <v>3215</v>
      </c>
      <c r="W189" s="7" t="s">
        <v>3215</v>
      </c>
      <c r="X189" s="2" t="s">
        <v>3215</v>
      </c>
      <c r="Y189" s="2" t="s">
        <v>3215</v>
      </c>
      <c r="Z189" s="3" t="s">
        <v>3215</v>
      </c>
      <c r="AA189" s="197" t="s">
        <v>3215</v>
      </c>
      <c r="AB189" s="197" t="s">
        <v>3215</v>
      </c>
      <c r="AC189" s="7" t="s">
        <v>3215</v>
      </c>
      <c r="AD189" s="2" t="s">
        <v>3215</v>
      </c>
      <c r="AE189" s="2" t="s">
        <v>3215</v>
      </c>
      <c r="AF189" s="3" t="s">
        <v>3215</v>
      </c>
      <c r="AG189" s="197" t="s">
        <v>3215</v>
      </c>
      <c r="AH189" s="197" t="s">
        <v>3215</v>
      </c>
      <c r="AI189" s="7" t="s">
        <v>3215</v>
      </c>
      <c r="AJ189" s="2" t="s">
        <v>3215</v>
      </c>
      <c r="AK189" s="2" t="s">
        <v>3215</v>
      </c>
      <c r="AL189" s="3" t="s">
        <v>3215</v>
      </c>
      <c r="AM189" s="197" t="s">
        <v>3215</v>
      </c>
      <c r="AN189" s="197" t="s">
        <v>3215</v>
      </c>
      <c r="AO189" s="7" t="s">
        <v>3215</v>
      </c>
      <c r="AP189" s="2" t="s">
        <v>3215</v>
      </c>
      <c r="AQ189" s="2" t="s">
        <v>3215</v>
      </c>
      <c r="AR189" s="3" t="s">
        <v>3215</v>
      </c>
      <c r="AS189" s="280"/>
      <c r="AT189" s="280"/>
      <c r="AU189" s="2"/>
      <c r="AV189" s="2"/>
      <c r="AW189" s="2"/>
      <c r="AX189" s="2"/>
      <c r="AY189" s="280"/>
      <c r="AZ189" s="280"/>
      <c r="BA189" s="2"/>
      <c r="BB189" s="2"/>
      <c r="BC189" s="2"/>
      <c r="BD189" s="2"/>
      <c r="BE189" s="280"/>
      <c r="BF189" s="280"/>
      <c r="BG189" s="2"/>
      <c r="BH189" s="2"/>
      <c r="BI189" s="2"/>
      <c r="BJ189" s="2"/>
      <c r="BK189" s="280"/>
      <c r="BL189" s="280"/>
      <c r="BM189" s="2"/>
      <c r="BN189" s="2"/>
      <c r="BO189" s="2"/>
      <c r="BP189" s="2"/>
      <c r="BQ189" s="280"/>
      <c r="BR189" s="280"/>
      <c r="BS189" s="2"/>
      <c r="BT189" s="2"/>
      <c r="BU189" s="2"/>
      <c r="BV189" s="2"/>
      <c r="BW189" s="280"/>
      <c r="BX189" s="280"/>
      <c r="BY189" s="2"/>
      <c r="BZ189" s="2"/>
      <c r="CA189" s="2"/>
      <c r="CB189" s="2"/>
      <c r="CC189" s="280"/>
      <c r="CD189" s="280"/>
      <c r="CE189" s="2"/>
      <c r="CF189" s="2"/>
      <c r="CG189" s="2"/>
      <c r="CH189" s="2"/>
      <c r="CI189" s="280"/>
      <c r="CJ189" s="280"/>
      <c r="CK189" s="2"/>
      <c r="CL189" s="2"/>
      <c r="CM189" s="2"/>
      <c r="CN189" s="2"/>
      <c r="CO189" s="280"/>
      <c r="CP189" s="280"/>
      <c r="CQ189" s="2"/>
      <c r="CR189" s="2"/>
      <c r="CS189" s="2"/>
      <c r="CT189" s="2"/>
      <c r="CU189" s="280"/>
      <c r="CV189" s="280"/>
      <c r="CW189" s="2"/>
      <c r="CX189" s="2"/>
      <c r="CY189" s="2"/>
      <c r="CZ189" s="2"/>
      <c r="DA189" s="280"/>
      <c r="DB189" s="280"/>
      <c r="DC189" s="2"/>
      <c r="DD189" s="2"/>
      <c r="DE189" s="2"/>
      <c r="DF189" s="2"/>
      <c r="DG189" s="280"/>
      <c r="DH189" s="280"/>
      <c r="DI189" s="2"/>
      <c r="DJ189" s="2"/>
      <c r="DK189" s="2"/>
      <c r="DL189" s="2"/>
      <c r="DM189" s="280"/>
      <c r="DN189" s="280"/>
      <c r="DO189" s="2"/>
      <c r="DP189" s="2"/>
      <c r="DQ189" s="2"/>
      <c r="DR189" s="2"/>
    </row>
    <row r="190" spans="1:254" ht="12.9" customHeight="1" x14ac:dyDescent="0.2">
      <c r="A190" s="505" t="str">
        <f>+'Past Quartets 1st - 3rd Place'!A201</f>
        <v>1998 P</v>
      </c>
      <c r="B190" s="505">
        <f>+'Past Quartets 1st - 3rd Place'!B201</f>
        <v>2</v>
      </c>
      <c r="C190" s="197" t="s">
        <v>3215</v>
      </c>
      <c r="D190" s="197" t="s">
        <v>3215</v>
      </c>
      <c r="E190" s="7" t="s">
        <v>3215</v>
      </c>
      <c r="F190" s="2" t="s">
        <v>3215</v>
      </c>
      <c r="G190" s="2" t="s">
        <v>3215</v>
      </c>
      <c r="H190" s="3" t="s">
        <v>3215</v>
      </c>
      <c r="I190" s="197" t="s">
        <v>3215</v>
      </c>
      <c r="J190" s="197" t="s">
        <v>3215</v>
      </c>
      <c r="K190" s="7" t="s">
        <v>3215</v>
      </c>
      <c r="L190" s="2" t="s">
        <v>3215</v>
      </c>
      <c r="M190" s="2" t="s">
        <v>3215</v>
      </c>
      <c r="N190" s="3" t="s">
        <v>3215</v>
      </c>
      <c r="O190" s="197" t="s">
        <v>3215</v>
      </c>
      <c r="P190" s="197" t="s">
        <v>3215</v>
      </c>
      <c r="Q190" s="7" t="s">
        <v>3215</v>
      </c>
      <c r="R190" s="2" t="s">
        <v>3215</v>
      </c>
      <c r="S190" s="2" t="s">
        <v>3215</v>
      </c>
      <c r="T190" s="3" t="s">
        <v>3215</v>
      </c>
      <c r="U190" s="197" t="s">
        <v>3215</v>
      </c>
      <c r="V190" s="197" t="s">
        <v>3215</v>
      </c>
      <c r="W190" s="7" t="s">
        <v>3215</v>
      </c>
      <c r="X190" s="2" t="s">
        <v>3215</v>
      </c>
      <c r="Y190" s="2" t="s">
        <v>3215</v>
      </c>
      <c r="Z190" s="3" t="s">
        <v>3215</v>
      </c>
      <c r="AA190" s="197" t="s">
        <v>3215</v>
      </c>
      <c r="AB190" s="197" t="s">
        <v>3215</v>
      </c>
      <c r="AC190" s="7" t="s">
        <v>3215</v>
      </c>
      <c r="AD190" s="2" t="s">
        <v>3215</v>
      </c>
      <c r="AE190" s="2" t="s">
        <v>3215</v>
      </c>
      <c r="AF190" s="3" t="s">
        <v>3215</v>
      </c>
      <c r="AG190" s="197" t="s">
        <v>3215</v>
      </c>
      <c r="AH190" s="197" t="s">
        <v>3215</v>
      </c>
      <c r="AI190" s="7" t="s">
        <v>3215</v>
      </c>
      <c r="AJ190" s="2" t="s">
        <v>3215</v>
      </c>
      <c r="AK190" s="2" t="s">
        <v>3215</v>
      </c>
      <c r="AL190" s="3" t="s">
        <v>3215</v>
      </c>
      <c r="AM190" s="197" t="s">
        <v>3215</v>
      </c>
      <c r="AN190" s="197" t="s">
        <v>3215</v>
      </c>
      <c r="AO190" s="7" t="s">
        <v>3215</v>
      </c>
      <c r="AP190" s="2" t="s">
        <v>3215</v>
      </c>
      <c r="AQ190" s="2" t="s">
        <v>3215</v>
      </c>
      <c r="AR190" s="3" t="s">
        <v>3215</v>
      </c>
      <c r="AS190" s="280"/>
      <c r="AT190" s="280"/>
      <c r="AU190" s="2"/>
      <c r="AV190" s="2"/>
      <c r="AW190" s="2"/>
      <c r="AX190" s="2"/>
      <c r="AY190" s="280"/>
      <c r="AZ190" s="280"/>
      <c r="BA190" s="2"/>
      <c r="BB190" s="2"/>
      <c r="BC190" s="2"/>
      <c r="BD190" s="2"/>
      <c r="BE190" s="280"/>
      <c r="BF190" s="280"/>
      <c r="BG190" s="2"/>
      <c r="BH190" s="2"/>
      <c r="BI190" s="2"/>
      <c r="BJ190" s="2"/>
      <c r="BK190" s="280"/>
      <c r="BL190" s="280"/>
      <c r="BM190" s="2"/>
      <c r="BN190" s="2"/>
      <c r="BO190" s="2"/>
      <c r="BP190" s="2"/>
      <c r="BQ190" s="280"/>
      <c r="BR190" s="280"/>
      <c r="BS190" s="2"/>
      <c r="BT190" s="2"/>
      <c r="BU190" s="2"/>
      <c r="BV190" s="2"/>
      <c r="BW190" s="280"/>
      <c r="BX190" s="280"/>
      <c r="BY190" s="2"/>
      <c r="BZ190" s="2"/>
      <c r="CA190" s="2"/>
      <c r="CB190" s="2"/>
      <c r="CC190" s="280"/>
      <c r="CD190" s="280"/>
      <c r="CE190" s="2"/>
      <c r="CF190" s="2"/>
      <c r="CG190" s="2"/>
      <c r="CH190" s="2"/>
      <c r="CI190" s="280"/>
      <c r="CJ190" s="280"/>
      <c r="CK190" s="2"/>
      <c r="CL190" s="2"/>
      <c r="CM190" s="2"/>
      <c r="CN190" s="2"/>
      <c r="CO190" s="280"/>
      <c r="CP190" s="280"/>
      <c r="CQ190" s="2"/>
      <c r="CR190" s="2"/>
      <c r="CS190" s="2"/>
      <c r="CT190" s="2"/>
      <c r="CU190" s="280"/>
      <c r="CV190" s="280"/>
      <c r="CW190" s="2"/>
      <c r="CX190" s="2"/>
      <c r="CY190" s="2"/>
      <c r="CZ190" s="2"/>
      <c r="DA190" s="280"/>
      <c r="DB190" s="280"/>
      <c r="DC190" s="2"/>
      <c r="DD190" s="2"/>
      <c r="DE190" s="2"/>
      <c r="DF190" s="2"/>
      <c r="DG190" s="280"/>
      <c r="DH190" s="280"/>
      <c r="DI190" s="2"/>
      <c r="DJ190" s="2"/>
      <c r="DK190" s="2"/>
      <c r="DL190" s="2"/>
      <c r="DM190" s="280"/>
      <c r="DN190" s="280"/>
      <c r="DO190" s="2"/>
      <c r="DP190" s="2"/>
      <c r="DQ190" s="2"/>
      <c r="DR190" s="2"/>
    </row>
    <row r="191" spans="1:254" ht="12.9" customHeight="1" x14ac:dyDescent="0.2">
      <c r="A191" s="505" t="str">
        <f>+'Past Quartets 1st - 3rd Place'!A202</f>
        <v>1999 P</v>
      </c>
      <c r="B191" s="505">
        <f>+'Past Quartets 1st - 3rd Place'!B202</f>
        <v>3</v>
      </c>
      <c r="C191" s="197" t="s">
        <v>3215</v>
      </c>
      <c r="D191" s="197" t="s">
        <v>3215</v>
      </c>
      <c r="E191" s="7" t="s">
        <v>3215</v>
      </c>
      <c r="F191" s="2" t="s">
        <v>3215</v>
      </c>
      <c r="G191" s="2" t="s">
        <v>3215</v>
      </c>
      <c r="H191" s="3" t="s">
        <v>3215</v>
      </c>
      <c r="I191" s="197" t="s">
        <v>3215</v>
      </c>
      <c r="J191" s="197" t="s">
        <v>3215</v>
      </c>
      <c r="K191" s="7" t="s">
        <v>3215</v>
      </c>
      <c r="L191" s="2" t="s">
        <v>3215</v>
      </c>
      <c r="M191" s="2" t="s">
        <v>3215</v>
      </c>
      <c r="N191" s="3" t="s">
        <v>3215</v>
      </c>
      <c r="O191" s="197" t="s">
        <v>3215</v>
      </c>
      <c r="P191" s="197" t="s">
        <v>3215</v>
      </c>
      <c r="Q191" s="7" t="s">
        <v>3215</v>
      </c>
      <c r="R191" s="2" t="s">
        <v>3215</v>
      </c>
      <c r="S191" s="2" t="s">
        <v>3215</v>
      </c>
      <c r="T191" s="3" t="s">
        <v>3215</v>
      </c>
      <c r="U191" s="197" t="s">
        <v>3215</v>
      </c>
      <c r="V191" s="197" t="s">
        <v>3215</v>
      </c>
      <c r="W191" s="7" t="s">
        <v>3215</v>
      </c>
      <c r="X191" s="2" t="s">
        <v>3215</v>
      </c>
      <c r="Y191" s="2" t="s">
        <v>3215</v>
      </c>
      <c r="Z191" s="3" t="s">
        <v>3215</v>
      </c>
      <c r="AA191" s="197" t="s">
        <v>3215</v>
      </c>
      <c r="AB191" s="197" t="s">
        <v>3215</v>
      </c>
      <c r="AC191" s="7" t="s">
        <v>3215</v>
      </c>
      <c r="AD191" s="2" t="s">
        <v>3215</v>
      </c>
      <c r="AE191" s="2" t="s">
        <v>3215</v>
      </c>
      <c r="AF191" s="3" t="s">
        <v>3215</v>
      </c>
      <c r="AG191" s="197" t="s">
        <v>3215</v>
      </c>
      <c r="AH191" s="197" t="s">
        <v>3215</v>
      </c>
      <c r="AI191" s="7" t="s">
        <v>3215</v>
      </c>
      <c r="AJ191" s="2" t="s">
        <v>3215</v>
      </c>
      <c r="AK191" s="2" t="s">
        <v>3215</v>
      </c>
      <c r="AL191" s="3" t="s">
        <v>3215</v>
      </c>
      <c r="AM191" s="197" t="s">
        <v>3215</v>
      </c>
      <c r="AN191" s="197" t="s">
        <v>3215</v>
      </c>
      <c r="AO191" s="7" t="s">
        <v>3215</v>
      </c>
      <c r="AP191" s="2" t="s">
        <v>3215</v>
      </c>
      <c r="AQ191" s="2" t="s">
        <v>3215</v>
      </c>
      <c r="AR191" s="3" t="s">
        <v>3215</v>
      </c>
      <c r="AS191" s="280"/>
      <c r="AT191" s="280"/>
      <c r="AU191" s="2"/>
      <c r="AV191" s="2"/>
      <c r="AW191" s="2"/>
      <c r="AX191" s="2"/>
      <c r="AY191" s="280"/>
      <c r="AZ191" s="280"/>
      <c r="BA191" s="2"/>
      <c r="BB191" s="2"/>
      <c r="BC191" s="2"/>
      <c r="BD191" s="2"/>
      <c r="BE191" s="280"/>
      <c r="BF191" s="280"/>
      <c r="BG191" s="2"/>
      <c r="BH191" s="2"/>
      <c r="BI191" s="2"/>
      <c r="BJ191" s="2"/>
      <c r="BK191" s="280"/>
      <c r="BL191" s="280"/>
      <c r="BM191" s="2"/>
      <c r="BN191" s="2"/>
      <c r="BO191" s="2"/>
      <c r="BP191" s="2"/>
      <c r="BQ191" s="280"/>
      <c r="BR191" s="280"/>
      <c r="BS191" s="2"/>
      <c r="BT191" s="2"/>
      <c r="BU191" s="2"/>
      <c r="BV191" s="2"/>
      <c r="BW191" s="280"/>
      <c r="BX191" s="280"/>
      <c r="BY191" s="2"/>
      <c r="BZ191" s="2"/>
      <c r="CA191" s="2"/>
      <c r="CB191" s="2"/>
      <c r="CC191" s="280"/>
      <c r="CD191" s="280"/>
      <c r="CE191" s="2"/>
      <c r="CF191" s="2"/>
      <c r="CG191" s="2"/>
      <c r="CH191" s="2"/>
      <c r="CI191" s="280"/>
      <c r="CJ191" s="280"/>
      <c r="CK191" s="2"/>
      <c r="CL191" s="2"/>
      <c r="CM191" s="2"/>
      <c r="CN191" s="2"/>
      <c r="CO191" s="280"/>
      <c r="CP191" s="280"/>
      <c r="CQ191" s="2"/>
      <c r="CR191" s="2"/>
      <c r="CS191" s="2"/>
      <c r="CT191" s="2"/>
      <c r="CU191" s="280"/>
      <c r="CV191" s="280"/>
      <c r="CW191" s="2"/>
      <c r="CX191" s="2"/>
      <c r="CY191" s="2"/>
      <c r="CZ191" s="2"/>
      <c r="DA191" s="280"/>
      <c r="DB191" s="280"/>
      <c r="DC191" s="2"/>
      <c r="DD191" s="2"/>
      <c r="DE191" s="2"/>
      <c r="DF191" s="2"/>
      <c r="DG191" s="280"/>
      <c r="DH191" s="280"/>
      <c r="DI191" s="2"/>
      <c r="DJ191" s="2"/>
      <c r="DK191" s="2"/>
      <c r="DL191" s="2"/>
      <c r="DM191" s="280"/>
      <c r="DN191" s="280"/>
      <c r="DO191" s="2"/>
      <c r="DP191" s="2"/>
      <c r="DQ191" s="2"/>
      <c r="DR191" s="2"/>
    </row>
    <row r="192" spans="1:254" ht="12.9" customHeight="1" x14ac:dyDescent="0.2">
      <c r="A192" s="505" t="str">
        <f>+'Past Quartets 1st - 3rd Place'!A203</f>
        <v>2000 P</v>
      </c>
      <c r="B192" s="505">
        <f>+'Past Quartets 1st - 3rd Place'!B203</f>
        <v>1</v>
      </c>
      <c r="C192" s="197" t="s">
        <v>3215</v>
      </c>
      <c r="D192" s="197" t="s">
        <v>3215</v>
      </c>
      <c r="E192" s="7" t="s">
        <v>3215</v>
      </c>
      <c r="F192" s="2" t="s">
        <v>3215</v>
      </c>
      <c r="G192" s="2" t="s">
        <v>3215</v>
      </c>
      <c r="H192" s="3" t="s">
        <v>3215</v>
      </c>
      <c r="I192" s="197" t="s">
        <v>3215</v>
      </c>
      <c r="J192" s="197" t="s">
        <v>3215</v>
      </c>
      <c r="K192" s="7" t="s">
        <v>3215</v>
      </c>
      <c r="L192" s="2" t="s">
        <v>3215</v>
      </c>
      <c r="M192" s="2" t="s">
        <v>3215</v>
      </c>
      <c r="N192" s="3" t="s">
        <v>3215</v>
      </c>
      <c r="O192" s="197" t="s">
        <v>3215</v>
      </c>
      <c r="P192" s="197" t="s">
        <v>3215</v>
      </c>
      <c r="Q192" s="7" t="s">
        <v>3215</v>
      </c>
      <c r="R192" s="2" t="s">
        <v>3215</v>
      </c>
      <c r="S192" s="2" t="s">
        <v>3215</v>
      </c>
      <c r="T192" s="3" t="s">
        <v>3215</v>
      </c>
      <c r="U192" s="197" t="s">
        <v>3215</v>
      </c>
      <c r="V192" s="197" t="s">
        <v>3215</v>
      </c>
      <c r="W192" s="7" t="s">
        <v>3215</v>
      </c>
      <c r="X192" s="2" t="s">
        <v>3215</v>
      </c>
      <c r="Y192" s="2" t="s">
        <v>3215</v>
      </c>
      <c r="Z192" s="3" t="s">
        <v>3215</v>
      </c>
      <c r="AA192" s="197" t="s">
        <v>3215</v>
      </c>
      <c r="AB192" s="197" t="s">
        <v>3215</v>
      </c>
      <c r="AC192" s="7" t="s">
        <v>3215</v>
      </c>
      <c r="AD192" s="2" t="s">
        <v>3215</v>
      </c>
      <c r="AE192" s="2" t="s">
        <v>3215</v>
      </c>
      <c r="AF192" s="3" t="s">
        <v>3215</v>
      </c>
      <c r="AG192" s="197" t="s">
        <v>3215</v>
      </c>
      <c r="AH192" s="197" t="s">
        <v>3215</v>
      </c>
      <c r="AI192" s="7" t="s">
        <v>3215</v>
      </c>
      <c r="AJ192" s="2" t="s">
        <v>3215</v>
      </c>
      <c r="AK192" s="2" t="s">
        <v>3215</v>
      </c>
      <c r="AL192" s="3" t="s">
        <v>3215</v>
      </c>
      <c r="AM192" s="197" t="s">
        <v>3215</v>
      </c>
      <c r="AN192" s="197" t="s">
        <v>3215</v>
      </c>
      <c r="AO192" s="7" t="s">
        <v>3215</v>
      </c>
      <c r="AP192" s="2" t="s">
        <v>3215</v>
      </c>
      <c r="AQ192" s="2" t="s">
        <v>3215</v>
      </c>
      <c r="AR192" s="3" t="s">
        <v>3215</v>
      </c>
      <c r="AS192" s="280"/>
      <c r="AT192" s="280"/>
      <c r="AU192" s="2"/>
      <c r="AV192" s="2"/>
      <c r="AW192" s="2"/>
      <c r="AX192" s="2"/>
      <c r="AY192" s="280"/>
      <c r="AZ192" s="280"/>
      <c r="BA192" s="2"/>
      <c r="BB192" s="2"/>
      <c r="BC192" s="2"/>
      <c r="BD192" s="2"/>
      <c r="BE192" s="280"/>
      <c r="BF192" s="280"/>
      <c r="BG192" s="2"/>
      <c r="BH192" s="2"/>
      <c r="BI192" s="2"/>
      <c r="BJ192" s="2"/>
      <c r="BK192" s="280"/>
      <c r="BL192" s="280"/>
      <c r="BM192" s="2"/>
      <c r="BN192" s="2"/>
      <c r="BO192" s="2"/>
      <c r="BP192" s="2"/>
      <c r="BQ192" s="280"/>
      <c r="BR192" s="280"/>
      <c r="BS192" s="2"/>
      <c r="BT192" s="2"/>
      <c r="BU192" s="2"/>
      <c r="BV192" s="2"/>
      <c r="BW192" s="280"/>
      <c r="BX192" s="280"/>
      <c r="BY192" s="2"/>
      <c r="BZ192" s="2"/>
      <c r="CA192" s="2"/>
      <c r="CB192" s="2"/>
      <c r="CC192" s="280"/>
      <c r="CD192" s="280"/>
      <c r="CE192" s="2"/>
      <c r="CF192" s="2"/>
      <c r="CG192" s="2"/>
      <c r="CH192" s="2"/>
      <c r="CI192" s="280"/>
      <c r="CJ192" s="280"/>
      <c r="CK192" s="2"/>
      <c r="CL192" s="2"/>
      <c r="CM192" s="2"/>
      <c r="CN192" s="2"/>
      <c r="CO192" s="280"/>
      <c r="CP192" s="280"/>
      <c r="CQ192" s="2"/>
      <c r="CR192" s="2"/>
      <c r="CS192" s="2"/>
      <c r="CT192" s="2"/>
      <c r="CU192" s="280"/>
      <c r="CV192" s="280"/>
      <c r="CW192" s="2"/>
      <c r="CX192" s="2"/>
      <c r="CY192" s="2"/>
      <c r="CZ192" s="2"/>
      <c r="DA192" s="280"/>
      <c r="DB192" s="280"/>
      <c r="DC192" s="2"/>
      <c r="DD192" s="2"/>
      <c r="DE192" s="2"/>
      <c r="DF192" s="2"/>
      <c r="DG192" s="280"/>
      <c r="DH192" s="280"/>
      <c r="DI192" s="2"/>
      <c r="DJ192" s="2"/>
      <c r="DK192" s="2"/>
      <c r="DL192" s="2"/>
      <c r="DM192" s="280"/>
      <c r="DN192" s="280"/>
      <c r="DO192" s="2"/>
      <c r="DP192" s="2"/>
      <c r="DQ192" s="2"/>
      <c r="DR192" s="2"/>
    </row>
    <row r="193" spans="1:122" ht="12.9" customHeight="1" x14ac:dyDescent="0.2">
      <c r="A193" s="505" t="str">
        <f>+'Past Quartets 1st - 3rd Place'!A204</f>
        <v>2001 P</v>
      </c>
      <c r="B193" s="505">
        <f>+'Past Quartets 1st - 3rd Place'!B204</f>
        <v>3</v>
      </c>
      <c r="C193" s="197" t="s">
        <v>3215</v>
      </c>
      <c r="D193" s="197" t="s">
        <v>3215</v>
      </c>
      <c r="E193" s="7" t="s">
        <v>3215</v>
      </c>
      <c r="F193" s="2" t="s">
        <v>3215</v>
      </c>
      <c r="G193" s="2" t="s">
        <v>3215</v>
      </c>
      <c r="H193" s="3" t="s">
        <v>3215</v>
      </c>
      <c r="I193" s="197" t="s">
        <v>3215</v>
      </c>
      <c r="J193" s="197" t="s">
        <v>3215</v>
      </c>
      <c r="K193" s="7" t="s">
        <v>3215</v>
      </c>
      <c r="L193" s="2" t="s">
        <v>3215</v>
      </c>
      <c r="M193" s="2" t="s">
        <v>3215</v>
      </c>
      <c r="N193" s="3" t="s">
        <v>3215</v>
      </c>
      <c r="O193" s="197" t="s">
        <v>3215</v>
      </c>
      <c r="P193" s="197" t="s">
        <v>3215</v>
      </c>
      <c r="Q193" s="7" t="s">
        <v>3215</v>
      </c>
      <c r="R193" s="2" t="s">
        <v>3215</v>
      </c>
      <c r="S193" s="2" t="s">
        <v>3215</v>
      </c>
      <c r="T193" s="3" t="s">
        <v>3215</v>
      </c>
      <c r="U193" s="197" t="s">
        <v>3215</v>
      </c>
      <c r="V193" s="197" t="s">
        <v>3215</v>
      </c>
      <c r="W193" s="7" t="s">
        <v>3215</v>
      </c>
      <c r="X193" s="2" t="s">
        <v>3215</v>
      </c>
      <c r="Y193" s="2" t="s">
        <v>3215</v>
      </c>
      <c r="Z193" s="3" t="s">
        <v>3215</v>
      </c>
      <c r="AA193" s="197" t="s">
        <v>3215</v>
      </c>
      <c r="AB193" s="197" t="s">
        <v>3215</v>
      </c>
      <c r="AC193" s="7" t="s">
        <v>3215</v>
      </c>
      <c r="AD193" s="2" t="s">
        <v>3215</v>
      </c>
      <c r="AE193" s="2" t="s">
        <v>3215</v>
      </c>
      <c r="AF193" s="3" t="s">
        <v>3215</v>
      </c>
      <c r="AG193" s="197" t="s">
        <v>3215</v>
      </c>
      <c r="AH193" s="197" t="s">
        <v>3215</v>
      </c>
      <c r="AI193" s="7" t="s">
        <v>3215</v>
      </c>
      <c r="AJ193" s="2" t="s">
        <v>3215</v>
      </c>
      <c r="AK193" s="2" t="s">
        <v>3215</v>
      </c>
      <c r="AL193" s="3" t="s">
        <v>3215</v>
      </c>
      <c r="AM193" s="197" t="s">
        <v>3215</v>
      </c>
      <c r="AN193" s="197" t="s">
        <v>3215</v>
      </c>
      <c r="AO193" s="7" t="s">
        <v>3215</v>
      </c>
      <c r="AP193" s="2" t="s">
        <v>3215</v>
      </c>
      <c r="AQ193" s="2" t="s">
        <v>3215</v>
      </c>
      <c r="AR193" s="3" t="s">
        <v>3215</v>
      </c>
      <c r="AS193" s="280"/>
      <c r="AT193" s="280"/>
      <c r="AU193" s="2"/>
      <c r="AV193" s="2"/>
      <c r="AW193" s="2"/>
      <c r="AX193" s="2"/>
      <c r="AY193" s="280"/>
      <c r="AZ193" s="280"/>
      <c r="BA193" s="2"/>
      <c r="BB193" s="2"/>
      <c r="BC193" s="2"/>
      <c r="BD193" s="2"/>
      <c r="BE193" s="280"/>
      <c r="BF193" s="280"/>
      <c r="BG193" s="2"/>
      <c r="BH193" s="2"/>
      <c r="BI193" s="2"/>
      <c r="BJ193" s="2"/>
      <c r="BK193" s="280"/>
      <c r="BL193" s="280"/>
      <c r="BM193" s="2"/>
      <c r="BN193" s="2"/>
      <c r="BO193" s="2"/>
      <c r="BP193" s="2"/>
      <c r="BQ193" s="280"/>
      <c r="BR193" s="280"/>
      <c r="BS193" s="2"/>
      <c r="BT193" s="2"/>
      <c r="BU193" s="2"/>
      <c r="BV193" s="2"/>
      <c r="BW193" s="280"/>
      <c r="BX193" s="280"/>
      <c r="BY193" s="2"/>
      <c r="BZ193" s="2"/>
      <c r="CA193" s="2"/>
      <c r="CB193" s="2"/>
      <c r="CC193" s="280"/>
      <c r="CD193" s="280"/>
      <c r="CE193" s="2"/>
      <c r="CF193" s="2"/>
      <c r="CG193" s="2"/>
      <c r="CH193" s="2"/>
      <c r="CI193" s="280"/>
      <c r="CJ193" s="280"/>
      <c r="CK193" s="2"/>
      <c r="CL193" s="2"/>
      <c r="CM193" s="2"/>
      <c r="CN193" s="2"/>
      <c r="CO193" s="280"/>
      <c r="CP193" s="280"/>
      <c r="CQ193" s="2"/>
      <c r="CR193" s="2"/>
      <c r="CS193" s="2"/>
      <c r="CT193" s="2"/>
      <c r="CU193" s="280"/>
      <c r="CV193" s="280"/>
      <c r="CW193" s="2"/>
      <c r="CX193" s="2"/>
      <c r="CY193" s="2"/>
      <c r="CZ193" s="2"/>
      <c r="DA193" s="280"/>
      <c r="DB193" s="280"/>
      <c r="DC193" s="2"/>
      <c r="DD193" s="2"/>
      <c r="DE193" s="2"/>
      <c r="DF193" s="2"/>
      <c r="DG193" s="280"/>
      <c r="DH193" s="280"/>
      <c r="DI193" s="2"/>
      <c r="DJ193" s="2"/>
      <c r="DK193" s="2"/>
      <c r="DL193" s="2"/>
      <c r="DM193" s="280"/>
      <c r="DN193" s="280"/>
      <c r="DO193" s="2"/>
      <c r="DP193" s="2"/>
      <c r="DQ193" s="2"/>
      <c r="DR193" s="2"/>
    </row>
    <row r="194" spans="1:122" ht="12.9" customHeight="1" x14ac:dyDescent="0.2">
      <c r="A194" s="505" t="str">
        <f>+'Past Quartets 1st - 3rd Place'!A205</f>
        <v>2002 P</v>
      </c>
      <c r="B194" s="505">
        <f>+'Past Quartets 1st - 3rd Place'!B205</f>
        <v>3</v>
      </c>
      <c r="C194" s="197" t="s">
        <v>3215</v>
      </c>
      <c r="D194" s="197" t="s">
        <v>3215</v>
      </c>
      <c r="E194" s="7" t="s">
        <v>3215</v>
      </c>
      <c r="F194" s="2" t="s">
        <v>3215</v>
      </c>
      <c r="G194" s="2" t="s">
        <v>3215</v>
      </c>
      <c r="H194" s="3" t="s">
        <v>3215</v>
      </c>
      <c r="I194" s="197" t="s">
        <v>3215</v>
      </c>
      <c r="J194" s="197" t="s">
        <v>3215</v>
      </c>
      <c r="K194" s="7" t="s">
        <v>3215</v>
      </c>
      <c r="L194" s="2" t="s">
        <v>3215</v>
      </c>
      <c r="M194" s="2" t="s">
        <v>3215</v>
      </c>
      <c r="N194" s="3" t="s">
        <v>3215</v>
      </c>
      <c r="O194" s="197" t="s">
        <v>3215</v>
      </c>
      <c r="P194" s="197" t="s">
        <v>3215</v>
      </c>
      <c r="Q194" s="7" t="s">
        <v>3215</v>
      </c>
      <c r="R194" s="2" t="s">
        <v>3215</v>
      </c>
      <c r="S194" s="2" t="s">
        <v>3215</v>
      </c>
      <c r="T194" s="3" t="s">
        <v>3215</v>
      </c>
      <c r="U194" s="197" t="s">
        <v>3215</v>
      </c>
      <c r="V194" s="197" t="s">
        <v>3215</v>
      </c>
      <c r="W194" s="7" t="s">
        <v>3215</v>
      </c>
      <c r="X194" s="2" t="s">
        <v>3215</v>
      </c>
      <c r="Y194" s="2" t="s">
        <v>3215</v>
      </c>
      <c r="Z194" s="3" t="s">
        <v>3215</v>
      </c>
      <c r="AA194" s="197" t="s">
        <v>3215</v>
      </c>
      <c r="AB194" s="197" t="s">
        <v>3215</v>
      </c>
      <c r="AC194" s="7" t="s">
        <v>3215</v>
      </c>
      <c r="AD194" s="2" t="s">
        <v>3215</v>
      </c>
      <c r="AE194" s="2" t="s">
        <v>3215</v>
      </c>
      <c r="AF194" s="3" t="s">
        <v>3215</v>
      </c>
      <c r="AG194" s="197" t="s">
        <v>3215</v>
      </c>
      <c r="AH194" s="197" t="s">
        <v>3215</v>
      </c>
      <c r="AI194" s="7" t="s">
        <v>3215</v>
      </c>
      <c r="AJ194" s="2" t="s">
        <v>3215</v>
      </c>
      <c r="AK194" s="2" t="s">
        <v>3215</v>
      </c>
      <c r="AL194" s="3" t="s">
        <v>3215</v>
      </c>
      <c r="AM194" s="197" t="s">
        <v>3215</v>
      </c>
      <c r="AN194" s="197" t="s">
        <v>3215</v>
      </c>
      <c r="AO194" s="7" t="s">
        <v>3215</v>
      </c>
      <c r="AP194" s="2" t="s">
        <v>3215</v>
      </c>
      <c r="AQ194" s="2" t="s">
        <v>3215</v>
      </c>
      <c r="AR194" s="3" t="s">
        <v>3215</v>
      </c>
      <c r="AS194" s="280"/>
      <c r="AT194" s="280"/>
      <c r="AU194" s="2"/>
      <c r="AV194" s="2"/>
      <c r="AW194" s="2"/>
      <c r="AX194" s="2"/>
      <c r="AY194" s="280"/>
      <c r="AZ194" s="280"/>
      <c r="BA194" s="2"/>
      <c r="BB194" s="2"/>
      <c r="BC194" s="2"/>
      <c r="BD194" s="2"/>
      <c r="BE194" s="280"/>
      <c r="BF194" s="280"/>
      <c r="BG194" s="2"/>
      <c r="BH194" s="2"/>
      <c r="BI194" s="2"/>
      <c r="BJ194" s="2"/>
      <c r="BK194" s="280"/>
      <c r="BL194" s="280"/>
      <c r="BM194" s="2"/>
      <c r="BN194" s="2"/>
      <c r="BO194" s="2"/>
      <c r="BP194" s="2"/>
      <c r="BQ194" s="280"/>
      <c r="BR194" s="280"/>
      <c r="BS194" s="2"/>
      <c r="BT194" s="2"/>
      <c r="BU194" s="2"/>
      <c r="BV194" s="2"/>
      <c r="BW194" s="280"/>
      <c r="BX194" s="280"/>
      <c r="BY194" s="2"/>
      <c r="BZ194" s="2"/>
      <c r="CA194" s="2"/>
      <c r="CB194" s="2"/>
      <c r="CC194" s="280"/>
      <c r="CD194" s="280"/>
      <c r="CE194" s="2"/>
      <c r="CF194" s="2"/>
      <c r="CG194" s="2"/>
      <c r="CH194" s="2"/>
      <c r="CI194" s="280"/>
      <c r="CJ194" s="280"/>
      <c r="CK194" s="2"/>
      <c r="CL194" s="2"/>
      <c r="CM194" s="2"/>
      <c r="CN194" s="2"/>
      <c r="CO194" s="280"/>
      <c r="CP194" s="280"/>
      <c r="CQ194" s="2"/>
      <c r="CR194" s="2"/>
      <c r="CS194" s="2"/>
      <c r="CT194" s="2"/>
      <c r="CU194" s="280"/>
      <c r="CV194" s="280"/>
      <c r="CW194" s="2"/>
      <c r="CX194" s="2"/>
      <c r="CY194" s="2"/>
      <c r="CZ194" s="2"/>
      <c r="DA194" s="280"/>
      <c r="DB194" s="280"/>
      <c r="DC194" s="2"/>
      <c r="DD194" s="2"/>
      <c r="DE194" s="2"/>
      <c r="DF194" s="2"/>
      <c r="DG194" s="280"/>
      <c r="DH194" s="280"/>
      <c r="DI194" s="2"/>
      <c r="DJ194" s="2"/>
      <c r="DK194" s="2"/>
      <c r="DL194" s="2"/>
      <c r="DM194" s="280"/>
      <c r="DN194" s="280"/>
      <c r="DO194" s="2"/>
      <c r="DP194" s="2"/>
      <c r="DQ194" s="2"/>
      <c r="DR194" s="2"/>
    </row>
    <row r="195" spans="1:122" ht="12.9" customHeight="1" x14ac:dyDescent="0.2">
      <c r="A195" s="505" t="str">
        <f>+'Past Quartets 1st - 3rd Place'!A206</f>
        <v>2003 P</v>
      </c>
      <c r="B195" s="505">
        <f>+'Past Quartets 1st - 3rd Place'!B206</f>
        <v>3</v>
      </c>
      <c r="C195" s="197" t="s">
        <v>3215</v>
      </c>
      <c r="D195" s="197" t="s">
        <v>3215</v>
      </c>
      <c r="E195" s="7" t="s">
        <v>3215</v>
      </c>
      <c r="F195" s="2" t="s">
        <v>3215</v>
      </c>
      <c r="G195" s="2" t="s">
        <v>3215</v>
      </c>
      <c r="H195" s="3" t="s">
        <v>3215</v>
      </c>
      <c r="I195" s="197" t="s">
        <v>3215</v>
      </c>
      <c r="J195" s="197" t="s">
        <v>3215</v>
      </c>
      <c r="K195" s="7" t="s">
        <v>3215</v>
      </c>
      <c r="L195" s="2" t="s">
        <v>3215</v>
      </c>
      <c r="M195" s="2" t="s">
        <v>3215</v>
      </c>
      <c r="N195" s="3" t="s">
        <v>3215</v>
      </c>
      <c r="O195" s="197" t="s">
        <v>3215</v>
      </c>
      <c r="P195" s="197" t="s">
        <v>3215</v>
      </c>
      <c r="Q195" s="7" t="s">
        <v>3215</v>
      </c>
      <c r="R195" s="2" t="s">
        <v>3215</v>
      </c>
      <c r="S195" s="2" t="s">
        <v>3215</v>
      </c>
      <c r="T195" s="3" t="s">
        <v>3215</v>
      </c>
      <c r="U195" s="197" t="s">
        <v>3215</v>
      </c>
      <c r="V195" s="197" t="s">
        <v>3215</v>
      </c>
      <c r="W195" s="7" t="s">
        <v>3215</v>
      </c>
      <c r="X195" s="2" t="s">
        <v>3215</v>
      </c>
      <c r="Y195" s="2" t="s">
        <v>3215</v>
      </c>
      <c r="Z195" s="3" t="s">
        <v>3215</v>
      </c>
      <c r="AA195" s="197" t="s">
        <v>3215</v>
      </c>
      <c r="AB195" s="197" t="s">
        <v>3215</v>
      </c>
      <c r="AC195" s="7" t="s">
        <v>3215</v>
      </c>
      <c r="AD195" s="2" t="s">
        <v>3215</v>
      </c>
      <c r="AE195" s="2" t="s">
        <v>3215</v>
      </c>
      <c r="AF195" s="3" t="s">
        <v>3215</v>
      </c>
      <c r="AG195" s="197" t="s">
        <v>3215</v>
      </c>
      <c r="AH195" s="197" t="s">
        <v>3215</v>
      </c>
      <c r="AI195" s="7" t="s">
        <v>3215</v>
      </c>
      <c r="AJ195" s="2" t="s">
        <v>3215</v>
      </c>
      <c r="AK195" s="2" t="s">
        <v>3215</v>
      </c>
      <c r="AL195" s="3" t="s">
        <v>3215</v>
      </c>
      <c r="AM195" s="197" t="s">
        <v>3215</v>
      </c>
      <c r="AN195" s="197" t="s">
        <v>3215</v>
      </c>
      <c r="AO195" s="7" t="s">
        <v>3215</v>
      </c>
      <c r="AP195" s="2" t="s">
        <v>3215</v>
      </c>
      <c r="AQ195" s="2" t="s">
        <v>3215</v>
      </c>
      <c r="AR195" s="3" t="s">
        <v>3215</v>
      </c>
      <c r="AS195" s="280"/>
      <c r="AT195" s="280"/>
      <c r="AU195" s="2"/>
      <c r="AV195" s="2"/>
      <c r="AW195" s="2"/>
      <c r="AX195" s="2"/>
      <c r="AY195" s="280"/>
      <c r="AZ195" s="280"/>
      <c r="BA195" s="2"/>
      <c r="BB195" s="2"/>
      <c r="BC195" s="2"/>
      <c r="BD195" s="2"/>
      <c r="BE195" s="280"/>
      <c r="BF195" s="280"/>
      <c r="BG195" s="2"/>
      <c r="BH195" s="2"/>
      <c r="BI195" s="2"/>
      <c r="BJ195" s="2"/>
      <c r="BK195" s="280"/>
      <c r="BL195" s="280"/>
      <c r="BM195" s="2"/>
      <c r="BN195" s="2"/>
      <c r="BO195" s="2"/>
      <c r="BP195" s="2"/>
      <c r="BQ195" s="280"/>
      <c r="BR195" s="280"/>
      <c r="BS195" s="2"/>
      <c r="BT195" s="2"/>
      <c r="BU195" s="2"/>
      <c r="BV195" s="2"/>
      <c r="BW195" s="280"/>
      <c r="BX195" s="280"/>
      <c r="BY195" s="2"/>
      <c r="BZ195" s="2"/>
      <c r="CA195" s="2"/>
      <c r="CB195" s="2"/>
      <c r="CC195" s="280"/>
      <c r="CD195" s="280"/>
      <c r="CE195" s="2"/>
      <c r="CF195" s="2"/>
      <c r="CG195" s="2"/>
      <c r="CH195" s="2"/>
      <c r="CI195" s="280"/>
      <c r="CJ195" s="280"/>
      <c r="CK195" s="2"/>
      <c r="CL195" s="2"/>
      <c r="CM195" s="2"/>
      <c r="CN195" s="2"/>
      <c r="CO195" s="280"/>
      <c r="CP195" s="280"/>
      <c r="CQ195" s="2"/>
      <c r="CR195" s="2"/>
      <c r="CS195" s="2"/>
      <c r="CT195" s="2"/>
      <c r="CU195" s="280"/>
      <c r="CV195" s="280"/>
      <c r="CW195" s="2"/>
      <c r="CX195" s="2"/>
      <c r="CY195" s="2"/>
      <c r="CZ195" s="2"/>
      <c r="DA195" s="280"/>
      <c r="DB195" s="280"/>
      <c r="DC195" s="2"/>
      <c r="DD195" s="2"/>
      <c r="DE195" s="2"/>
      <c r="DF195" s="2"/>
      <c r="DG195" s="280"/>
      <c r="DH195" s="280"/>
      <c r="DI195" s="2"/>
      <c r="DJ195" s="2"/>
      <c r="DK195" s="2"/>
      <c r="DL195" s="2"/>
      <c r="DM195" s="280"/>
      <c r="DN195" s="280"/>
      <c r="DO195" s="2"/>
      <c r="DP195" s="2"/>
      <c r="DQ195" s="2"/>
      <c r="DR195" s="2"/>
    </row>
    <row r="196" spans="1:122" ht="12.9" customHeight="1" x14ac:dyDescent="0.2">
      <c r="A196" s="505" t="str">
        <f>+'Past Quartets 1st - 3rd Place'!A207</f>
        <v>2004 P</v>
      </c>
      <c r="B196" s="505">
        <f>+'Past Quartets 1st - 3rd Place'!B207</f>
        <v>7</v>
      </c>
      <c r="C196" s="197" t="s">
        <v>3589</v>
      </c>
      <c r="D196" s="204" t="s">
        <v>3612</v>
      </c>
      <c r="E196" s="30" t="s">
        <v>3613</v>
      </c>
      <c r="F196" s="29" t="s">
        <v>3614</v>
      </c>
      <c r="G196" s="29" t="s">
        <v>685</v>
      </c>
      <c r="H196" s="189" t="s">
        <v>686</v>
      </c>
      <c r="I196" s="197" t="s">
        <v>3215</v>
      </c>
      <c r="J196" s="197" t="s">
        <v>3215</v>
      </c>
      <c r="K196" s="7" t="s">
        <v>3215</v>
      </c>
      <c r="L196" s="2" t="s">
        <v>3215</v>
      </c>
      <c r="M196" s="2" t="s">
        <v>3215</v>
      </c>
      <c r="N196" s="3" t="s">
        <v>3215</v>
      </c>
      <c r="O196" s="197" t="s">
        <v>3215</v>
      </c>
      <c r="P196" s="197" t="s">
        <v>3215</v>
      </c>
      <c r="Q196" s="7" t="s">
        <v>3215</v>
      </c>
      <c r="R196" s="2" t="s">
        <v>3215</v>
      </c>
      <c r="S196" s="2" t="s">
        <v>3215</v>
      </c>
      <c r="T196" s="3" t="s">
        <v>3215</v>
      </c>
      <c r="U196" s="197" t="s">
        <v>3215</v>
      </c>
      <c r="V196" s="197" t="s">
        <v>3215</v>
      </c>
      <c r="W196" s="7" t="s">
        <v>3215</v>
      </c>
      <c r="X196" s="2" t="s">
        <v>3215</v>
      </c>
      <c r="Y196" s="2" t="s">
        <v>3215</v>
      </c>
      <c r="Z196" s="3" t="s">
        <v>3215</v>
      </c>
      <c r="AA196" s="197" t="s">
        <v>3215</v>
      </c>
      <c r="AB196" s="197" t="s">
        <v>3215</v>
      </c>
      <c r="AC196" s="7" t="s">
        <v>3215</v>
      </c>
      <c r="AD196" s="2" t="s">
        <v>3215</v>
      </c>
      <c r="AE196" s="2" t="s">
        <v>3215</v>
      </c>
      <c r="AF196" s="3" t="s">
        <v>3215</v>
      </c>
      <c r="AG196" s="197" t="s">
        <v>3215</v>
      </c>
      <c r="AH196" s="197" t="s">
        <v>3215</v>
      </c>
      <c r="AI196" s="7" t="s">
        <v>3215</v>
      </c>
      <c r="AJ196" s="2" t="s">
        <v>3215</v>
      </c>
      <c r="AK196" s="2" t="s">
        <v>3215</v>
      </c>
      <c r="AL196" s="3" t="s">
        <v>3215</v>
      </c>
      <c r="AM196" s="197" t="s">
        <v>3215</v>
      </c>
      <c r="AN196" s="197" t="s">
        <v>3215</v>
      </c>
      <c r="AO196" s="7" t="s">
        <v>3215</v>
      </c>
      <c r="AP196" s="2" t="s">
        <v>3215</v>
      </c>
      <c r="AQ196" s="2" t="s">
        <v>3215</v>
      </c>
      <c r="AR196" s="3" t="s">
        <v>3215</v>
      </c>
      <c r="AS196" s="280"/>
      <c r="AT196" s="280"/>
      <c r="AU196" s="2"/>
      <c r="AV196" s="2"/>
      <c r="AW196" s="2"/>
      <c r="AX196" s="2"/>
      <c r="AY196" s="280"/>
      <c r="AZ196" s="280"/>
      <c r="BA196" s="2"/>
      <c r="BB196" s="2"/>
      <c r="BC196" s="2"/>
      <c r="BD196" s="2"/>
      <c r="BE196" s="280"/>
      <c r="BF196" s="280"/>
      <c r="BG196" s="2"/>
      <c r="BH196" s="2"/>
      <c r="BI196" s="2"/>
      <c r="BJ196" s="2"/>
      <c r="BK196" s="280"/>
      <c r="BL196" s="280"/>
      <c r="BM196" s="2"/>
      <c r="BN196" s="2"/>
      <c r="BO196" s="2"/>
      <c r="BP196" s="2"/>
      <c r="BQ196" s="280"/>
      <c r="BR196" s="280"/>
      <c r="BS196" s="2"/>
      <c r="BT196" s="2"/>
      <c r="BU196" s="2"/>
      <c r="BV196" s="2"/>
      <c r="BW196" s="280"/>
      <c r="BX196" s="280"/>
      <c r="BY196" s="2"/>
      <c r="BZ196" s="2"/>
      <c r="CA196" s="2"/>
      <c r="CB196" s="2"/>
      <c r="CC196" s="280"/>
      <c r="CD196" s="280"/>
      <c r="CE196" s="2"/>
      <c r="CF196" s="2"/>
      <c r="CG196" s="2"/>
      <c r="CH196" s="2"/>
      <c r="CI196" s="280"/>
      <c r="CJ196" s="280"/>
      <c r="CK196" s="2"/>
      <c r="CL196" s="2"/>
      <c r="CM196" s="2"/>
      <c r="CN196" s="2"/>
      <c r="CO196" s="280"/>
      <c r="CP196" s="280"/>
      <c r="CQ196" s="2"/>
      <c r="CR196" s="2"/>
      <c r="CS196" s="2"/>
      <c r="CT196" s="2"/>
      <c r="CU196" s="280"/>
      <c r="CV196" s="280"/>
      <c r="CW196" s="2"/>
      <c r="CX196" s="2"/>
      <c r="CY196" s="2"/>
      <c r="CZ196" s="2"/>
      <c r="DA196" s="280"/>
      <c r="DB196" s="280"/>
      <c r="DC196" s="2"/>
      <c r="DD196" s="2"/>
      <c r="DE196" s="2"/>
      <c r="DF196" s="2"/>
      <c r="DG196" s="280"/>
      <c r="DH196" s="280"/>
      <c r="DI196" s="2"/>
      <c r="DJ196" s="2"/>
      <c r="DK196" s="2"/>
      <c r="DL196" s="2"/>
      <c r="DM196" s="280"/>
      <c r="DN196" s="280"/>
      <c r="DO196" s="2"/>
      <c r="DP196" s="2"/>
      <c r="DQ196" s="2"/>
      <c r="DR196" s="2"/>
    </row>
    <row r="197" spans="1:122" ht="12.9" customHeight="1" x14ac:dyDescent="0.2">
      <c r="A197" s="505" t="str">
        <f>+'Past Quartets 1st - 3rd Place'!A208</f>
        <v>2005 P</v>
      </c>
      <c r="B197" s="505">
        <f>+'Past Quartets 1st - 3rd Place'!B208</f>
        <v>1</v>
      </c>
      <c r="C197" s="197" t="s">
        <v>3215</v>
      </c>
      <c r="D197" s="197" t="s">
        <v>3215</v>
      </c>
      <c r="E197" s="7" t="s">
        <v>3215</v>
      </c>
      <c r="F197" s="2" t="s">
        <v>3215</v>
      </c>
      <c r="G197" s="2" t="s">
        <v>3215</v>
      </c>
      <c r="H197" s="3" t="s">
        <v>3215</v>
      </c>
      <c r="I197" s="197" t="s">
        <v>3215</v>
      </c>
      <c r="J197" s="197" t="s">
        <v>3215</v>
      </c>
      <c r="K197" s="7" t="s">
        <v>3215</v>
      </c>
      <c r="L197" s="2" t="s">
        <v>3215</v>
      </c>
      <c r="M197" s="2" t="s">
        <v>3215</v>
      </c>
      <c r="N197" s="3" t="s">
        <v>3215</v>
      </c>
      <c r="O197" s="197" t="s">
        <v>3215</v>
      </c>
      <c r="P197" s="197" t="s">
        <v>3215</v>
      </c>
      <c r="Q197" s="7" t="s">
        <v>3215</v>
      </c>
      <c r="R197" s="2" t="s">
        <v>3215</v>
      </c>
      <c r="S197" s="2" t="s">
        <v>3215</v>
      </c>
      <c r="T197" s="3" t="s">
        <v>3215</v>
      </c>
      <c r="U197" s="197" t="s">
        <v>3215</v>
      </c>
      <c r="V197" s="197" t="s">
        <v>3215</v>
      </c>
      <c r="W197" s="7" t="s">
        <v>3215</v>
      </c>
      <c r="X197" s="2" t="s">
        <v>3215</v>
      </c>
      <c r="Y197" s="2" t="s">
        <v>3215</v>
      </c>
      <c r="Z197" s="3" t="s">
        <v>3215</v>
      </c>
      <c r="AA197" s="197" t="s">
        <v>3215</v>
      </c>
      <c r="AB197" s="197" t="s">
        <v>3215</v>
      </c>
      <c r="AC197" s="7" t="s">
        <v>3215</v>
      </c>
      <c r="AD197" s="2" t="s">
        <v>3215</v>
      </c>
      <c r="AE197" s="2" t="s">
        <v>3215</v>
      </c>
      <c r="AF197" s="3" t="s">
        <v>3215</v>
      </c>
      <c r="AG197" s="197" t="s">
        <v>3215</v>
      </c>
      <c r="AH197" s="197" t="s">
        <v>3215</v>
      </c>
      <c r="AI197" s="7" t="s">
        <v>3215</v>
      </c>
      <c r="AJ197" s="2" t="s">
        <v>3215</v>
      </c>
      <c r="AK197" s="2" t="s">
        <v>3215</v>
      </c>
      <c r="AL197" s="3" t="s">
        <v>3215</v>
      </c>
      <c r="AM197" s="197" t="s">
        <v>3215</v>
      </c>
      <c r="AN197" s="197" t="s">
        <v>3215</v>
      </c>
      <c r="AO197" s="7" t="s">
        <v>3215</v>
      </c>
      <c r="AP197" s="2" t="s">
        <v>3215</v>
      </c>
      <c r="AQ197" s="2" t="s">
        <v>3215</v>
      </c>
      <c r="AR197" s="3" t="s">
        <v>3215</v>
      </c>
      <c r="AS197" s="280"/>
      <c r="AT197" s="280"/>
      <c r="AU197" s="2"/>
      <c r="AV197" s="2"/>
      <c r="AW197" s="2"/>
      <c r="AX197" s="2"/>
      <c r="AY197" s="280"/>
      <c r="AZ197" s="280"/>
      <c r="BA197" s="2"/>
      <c r="BB197" s="2"/>
      <c r="BC197" s="2"/>
      <c r="BD197" s="2"/>
      <c r="BE197" s="280"/>
      <c r="BF197" s="280"/>
      <c r="BG197" s="2"/>
      <c r="BH197" s="2"/>
      <c r="BI197" s="2"/>
      <c r="BJ197" s="2"/>
      <c r="BK197" s="280"/>
      <c r="BL197" s="280"/>
      <c r="BM197" s="2"/>
      <c r="BN197" s="2"/>
      <c r="BO197" s="2"/>
      <c r="BP197" s="2"/>
      <c r="BQ197" s="280"/>
      <c r="BR197" s="280"/>
      <c r="BS197" s="2"/>
      <c r="BT197" s="2"/>
      <c r="BU197" s="2"/>
      <c r="BV197" s="2"/>
      <c r="BW197" s="280"/>
      <c r="BX197" s="280"/>
      <c r="BY197" s="2"/>
      <c r="BZ197" s="2"/>
      <c r="CA197" s="2"/>
      <c r="CB197" s="2"/>
      <c r="CC197" s="280"/>
      <c r="CD197" s="280"/>
      <c r="CE197" s="2"/>
      <c r="CF197" s="2"/>
      <c r="CG197" s="2"/>
      <c r="CH197" s="2"/>
      <c r="CI197" s="280"/>
      <c r="CJ197" s="280"/>
      <c r="CK197" s="2"/>
      <c r="CL197" s="2"/>
      <c r="CM197" s="2"/>
      <c r="CN197" s="2"/>
      <c r="CO197" s="280"/>
      <c r="CP197" s="280"/>
      <c r="CQ197" s="2"/>
      <c r="CR197" s="2"/>
      <c r="CS197" s="2"/>
      <c r="CT197" s="2"/>
      <c r="CU197" s="280"/>
      <c r="CV197" s="280"/>
      <c r="CW197" s="2"/>
      <c r="CX197" s="2"/>
      <c r="CY197" s="2"/>
      <c r="CZ197" s="2"/>
      <c r="DA197" s="280"/>
      <c r="DB197" s="280"/>
      <c r="DC197" s="2"/>
      <c r="DD197" s="2"/>
      <c r="DE197" s="2"/>
      <c r="DF197" s="2"/>
      <c r="DG197" s="280"/>
      <c r="DH197" s="280"/>
      <c r="DI197" s="2"/>
      <c r="DJ197" s="2"/>
      <c r="DK197" s="2"/>
      <c r="DL197" s="2"/>
      <c r="DM197" s="280"/>
      <c r="DN197" s="280"/>
      <c r="DO197" s="2"/>
      <c r="DP197" s="2"/>
      <c r="DQ197" s="2"/>
      <c r="DR197" s="2"/>
    </row>
    <row r="198" spans="1:122" ht="12.9" customHeight="1" x14ac:dyDescent="0.2">
      <c r="A198" s="505" t="str">
        <f>+'Past Quartets 1st - 3rd Place'!A209</f>
        <v>2006 P</v>
      </c>
      <c r="B198" s="505">
        <f>+'Past Quartets 1st - 3rd Place'!B209</f>
        <v>3</v>
      </c>
      <c r="C198" s="197" t="s">
        <v>3215</v>
      </c>
      <c r="D198" s="197" t="s">
        <v>3215</v>
      </c>
      <c r="E198" s="7" t="s">
        <v>3215</v>
      </c>
      <c r="F198" s="2" t="s">
        <v>3215</v>
      </c>
      <c r="G198" s="2" t="s">
        <v>3215</v>
      </c>
      <c r="H198" s="3" t="s">
        <v>3215</v>
      </c>
      <c r="I198" s="197" t="s">
        <v>3215</v>
      </c>
      <c r="J198" s="197" t="s">
        <v>3215</v>
      </c>
      <c r="K198" s="7" t="s">
        <v>3215</v>
      </c>
      <c r="L198" s="2" t="s">
        <v>3215</v>
      </c>
      <c r="M198" s="2" t="s">
        <v>3215</v>
      </c>
      <c r="N198" s="3" t="s">
        <v>3215</v>
      </c>
      <c r="O198" s="197" t="s">
        <v>3215</v>
      </c>
      <c r="P198" s="197" t="s">
        <v>3215</v>
      </c>
      <c r="Q198" s="7" t="s">
        <v>3215</v>
      </c>
      <c r="R198" s="2" t="s">
        <v>3215</v>
      </c>
      <c r="S198" s="2" t="s">
        <v>3215</v>
      </c>
      <c r="T198" s="3" t="s">
        <v>3215</v>
      </c>
      <c r="U198" s="197" t="s">
        <v>3215</v>
      </c>
      <c r="V198" s="197" t="s">
        <v>3215</v>
      </c>
      <c r="W198" s="7" t="s">
        <v>3215</v>
      </c>
      <c r="X198" s="2" t="s">
        <v>3215</v>
      </c>
      <c r="Y198" s="2" t="s">
        <v>3215</v>
      </c>
      <c r="Z198" s="3" t="s">
        <v>3215</v>
      </c>
      <c r="AA198" s="197" t="s">
        <v>3215</v>
      </c>
      <c r="AB198" s="197" t="s">
        <v>3215</v>
      </c>
      <c r="AC198" s="7" t="s">
        <v>3215</v>
      </c>
      <c r="AD198" s="2" t="s">
        <v>3215</v>
      </c>
      <c r="AE198" s="2" t="s">
        <v>3215</v>
      </c>
      <c r="AF198" s="3" t="s">
        <v>3215</v>
      </c>
      <c r="AG198" s="197" t="s">
        <v>3215</v>
      </c>
      <c r="AH198" s="197" t="s">
        <v>3215</v>
      </c>
      <c r="AI198" s="7" t="s">
        <v>3215</v>
      </c>
      <c r="AJ198" s="2" t="s">
        <v>3215</v>
      </c>
      <c r="AK198" s="2" t="s">
        <v>3215</v>
      </c>
      <c r="AL198" s="3" t="s">
        <v>3215</v>
      </c>
      <c r="AM198" s="197" t="s">
        <v>3215</v>
      </c>
      <c r="AN198" s="197" t="s">
        <v>3215</v>
      </c>
      <c r="AO198" s="7" t="s">
        <v>3215</v>
      </c>
      <c r="AP198" s="2" t="s">
        <v>3215</v>
      </c>
      <c r="AQ198" s="2" t="s">
        <v>3215</v>
      </c>
      <c r="AR198" s="3" t="s">
        <v>3215</v>
      </c>
      <c r="AS198" s="280"/>
      <c r="AT198" s="280"/>
      <c r="AU198" s="2"/>
      <c r="AV198" s="2"/>
      <c r="AW198" s="2"/>
      <c r="AX198" s="2"/>
      <c r="AY198" s="280"/>
      <c r="AZ198" s="280"/>
      <c r="BA198" s="2"/>
      <c r="BB198" s="2"/>
      <c r="BC198" s="2"/>
      <c r="BD198" s="2"/>
      <c r="BE198" s="280"/>
      <c r="BF198" s="280"/>
      <c r="BG198" s="2"/>
      <c r="BH198" s="2"/>
      <c r="BI198" s="2"/>
      <c r="BJ198" s="2"/>
      <c r="BK198" s="280"/>
      <c r="BL198" s="280"/>
      <c r="BM198" s="2"/>
      <c r="BN198" s="2"/>
      <c r="BO198" s="2"/>
      <c r="BP198" s="2"/>
      <c r="BQ198" s="280"/>
      <c r="BR198" s="280"/>
      <c r="BS198" s="2"/>
      <c r="BT198" s="2"/>
      <c r="BU198" s="2"/>
      <c r="BV198" s="2"/>
      <c r="BW198" s="280"/>
      <c r="BX198" s="280"/>
      <c r="BY198" s="2"/>
      <c r="BZ198" s="2"/>
      <c r="CA198" s="2"/>
      <c r="CB198" s="2"/>
      <c r="CC198" s="280"/>
      <c r="CD198" s="280"/>
      <c r="CE198" s="2"/>
      <c r="CF198" s="2"/>
      <c r="CG198" s="2"/>
      <c r="CH198" s="2"/>
      <c r="CI198" s="280"/>
      <c r="CJ198" s="280"/>
      <c r="CK198" s="2"/>
      <c r="CL198" s="2"/>
      <c r="CM198" s="2"/>
      <c r="CN198" s="2"/>
      <c r="CO198" s="280"/>
      <c r="CP198" s="280"/>
      <c r="CQ198" s="2"/>
      <c r="CR198" s="2"/>
      <c r="CS198" s="2"/>
      <c r="CT198" s="2"/>
      <c r="CU198" s="280"/>
      <c r="CV198" s="280"/>
      <c r="CW198" s="2"/>
      <c r="CX198" s="2"/>
      <c r="CY198" s="2"/>
      <c r="CZ198" s="2"/>
      <c r="DA198" s="280"/>
      <c r="DB198" s="280"/>
      <c r="DC198" s="2"/>
      <c r="DD198" s="2"/>
      <c r="DE198" s="2"/>
      <c r="DF198" s="2"/>
      <c r="DG198" s="280"/>
      <c r="DH198" s="280"/>
      <c r="DI198" s="2"/>
      <c r="DJ198" s="2"/>
      <c r="DK198" s="2"/>
      <c r="DL198" s="2"/>
      <c r="DM198" s="280"/>
      <c r="DN198" s="280"/>
      <c r="DO198" s="2"/>
      <c r="DP198" s="2"/>
      <c r="DQ198" s="2"/>
      <c r="DR198" s="2"/>
    </row>
    <row r="199" spans="1:122" ht="12.9" customHeight="1" x14ac:dyDescent="0.2">
      <c r="A199" s="505" t="str">
        <f>+'Past Quartets 1st - 3rd Place'!A210</f>
        <v>2007 P</v>
      </c>
      <c r="B199" s="505">
        <f>+'Past Quartets 1st - 3rd Place'!B210</f>
        <v>1</v>
      </c>
      <c r="C199" s="197" t="s">
        <v>3215</v>
      </c>
      <c r="D199" s="197" t="s">
        <v>3215</v>
      </c>
      <c r="E199" s="7" t="s">
        <v>3215</v>
      </c>
      <c r="F199" s="2" t="s">
        <v>3215</v>
      </c>
      <c r="G199" s="2" t="s">
        <v>3215</v>
      </c>
      <c r="H199" s="3" t="s">
        <v>3215</v>
      </c>
      <c r="I199" s="197" t="s">
        <v>3215</v>
      </c>
      <c r="J199" s="197" t="s">
        <v>3215</v>
      </c>
      <c r="K199" s="7" t="s">
        <v>3215</v>
      </c>
      <c r="L199" s="2" t="s">
        <v>3215</v>
      </c>
      <c r="M199" s="2" t="s">
        <v>3215</v>
      </c>
      <c r="N199" s="3" t="s">
        <v>3215</v>
      </c>
      <c r="O199" s="197" t="s">
        <v>3215</v>
      </c>
      <c r="P199" s="197" t="s">
        <v>3215</v>
      </c>
      <c r="Q199" s="7" t="s">
        <v>3215</v>
      </c>
      <c r="R199" s="2" t="s">
        <v>3215</v>
      </c>
      <c r="S199" s="2" t="s">
        <v>3215</v>
      </c>
      <c r="T199" s="3" t="s">
        <v>3215</v>
      </c>
      <c r="U199" s="197" t="s">
        <v>3215</v>
      </c>
      <c r="V199" s="197" t="s">
        <v>3215</v>
      </c>
      <c r="W199" s="7" t="s">
        <v>3215</v>
      </c>
      <c r="X199" s="2" t="s">
        <v>3215</v>
      </c>
      <c r="Y199" s="2" t="s">
        <v>3215</v>
      </c>
      <c r="Z199" s="3" t="s">
        <v>3215</v>
      </c>
      <c r="AA199" s="197" t="s">
        <v>3215</v>
      </c>
      <c r="AB199" s="197" t="s">
        <v>3215</v>
      </c>
      <c r="AC199" s="7" t="s">
        <v>3215</v>
      </c>
      <c r="AD199" s="2" t="s">
        <v>3215</v>
      </c>
      <c r="AE199" s="2" t="s">
        <v>3215</v>
      </c>
      <c r="AF199" s="3" t="s">
        <v>3215</v>
      </c>
      <c r="AG199" s="197" t="s">
        <v>3215</v>
      </c>
      <c r="AH199" s="197" t="s">
        <v>3215</v>
      </c>
      <c r="AI199" s="7" t="s">
        <v>3215</v>
      </c>
      <c r="AJ199" s="2" t="s">
        <v>3215</v>
      </c>
      <c r="AK199" s="2" t="s">
        <v>3215</v>
      </c>
      <c r="AL199" s="3" t="s">
        <v>3215</v>
      </c>
      <c r="AM199" s="197" t="s">
        <v>3215</v>
      </c>
      <c r="AN199" s="197" t="s">
        <v>3215</v>
      </c>
      <c r="AO199" s="7" t="s">
        <v>3215</v>
      </c>
      <c r="AP199" s="2" t="s">
        <v>3215</v>
      </c>
      <c r="AQ199" s="2" t="s">
        <v>3215</v>
      </c>
      <c r="AR199" s="3" t="s">
        <v>3215</v>
      </c>
      <c r="AS199" s="280"/>
      <c r="AT199" s="280"/>
      <c r="AU199" s="2"/>
      <c r="AV199" s="2"/>
      <c r="AW199" s="2"/>
      <c r="AX199" s="2"/>
      <c r="AY199" s="280"/>
      <c r="AZ199" s="280"/>
      <c r="BA199" s="2"/>
      <c r="BB199" s="2"/>
      <c r="BC199" s="2"/>
      <c r="BD199" s="2"/>
      <c r="BE199" s="280"/>
      <c r="BF199" s="280"/>
      <c r="BG199" s="2"/>
      <c r="BH199" s="2"/>
      <c r="BI199" s="2"/>
      <c r="BJ199" s="2"/>
      <c r="BK199" s="280"/>
      <c r="BL199" s="280"/>
      <c r="BM199" s="2"/>
      <c r="BN199" s="2"/>
      <c r="BO199" s="2"/>
      <c r="BP199" s="2"/>
      <c r="BQ199" s="280"/>
      <c r="BR199" s="280"/>
      <c r="BS199" s="2"/>
      <c r="BT199" s="2"/>
      <c r="BU199" s="2"/>
      <c r="BV199" s="2"/>
      <c r="BW199" s="280"/>
      <c r="BX199" s="280"/>
      <c r="BY199" s="2"/>
      <c r="BZ199" s="2"/>
      <c r="CA199" s="2"/>
      <c r="CB199" s="2"/>
      <c r="CC199" s="280"/>
      <c r="CD199" s="280"/>
      <c r="CE199" s="2"/>
      <c r="CF199" s="2"/>
      <c r="CG199" s="2"/>
      <c r="CH199" s="2"/>
      <c r="CI199" s="280"/>
      <c r="CJ199" s="280"/>
      <c r="CK199" s="2"/>
      <c r="CL199" s="2"/>
      <c r="CM199" s="2"/>
      <c r="CN199" s="2"/>
      <c r="CO199" s="280"/>
      <c r="CP199" s="280"/>
      <c r="CQ199" s="2"/>
      <c r="CR199" s="2"/>
      <c r="CS199" s="2"/>
      <c r="CT199" s="2"/>
      <c r="CU199" s="280"/>
      <c r="CV199" s="280"/>
      <c r="CW199" s="2"/>
      <c r="CX199" s="2"/>
      <c r="CY199" s="2"/>
      <c r="CZ199" s="2"/>
      <c r="DA199" s="280"/>
      <c r="DB199" s="280"/>
      <c r="DC199" s="2"/>
      <c r="DD199" s="2"/>
      <c r="DE199" s="2"/>
      <c r="DF199" s="2"/>
      <c r="DG199" s="280"/>
      <c r="DH199" s="280"/>
      <c r="DI199" s="2"/>
      <c r="DJ199" s="2"/>
      <c r="DK199" s="2"/>
      <c r="DL199" s="2"/>
      <c r="DM199" s="280"/>
      <c r="DN199" s="280"/>
      <c r="DO199" s="2"/>
      <c r="DP199" s="2"/>
      <c r="DQ199" s="2"/>
      <c r="DR199" s="2"/>
    </row>
    <row r="200" spans="1:122" ht="12.9" customHeight="1" x14ac:dyDescent="0.2">
      <c r="A200" s="505" t="str">
        <f>+'Past Quartets 1st - 3rd Place'!A211</f>
        <v>2008 P</v>
      </c>
      <c r="B200" s="505">
        <f>+'Past Quartets 1st - 3rd Place'!B211</f>
        <v>8</v>
      </c>
      <c r="C200" s="197" t="s">
        <v>1569</v>
      </c>
      <c r="D200" s="204" t="s">
        <v>2997</v>
      </c>
      <c r="E200" s="27" t="s">
        <v>2998</v>
      </c>
      <c r="F200" s="27" t="s">
        <v>182</v>
      </c>
      <c r="G200" s="27" t="s">
        <v>2999</v>
      </c>
      <c r="H200" s="3" t="s">
        <v>3818</v>
      </c>
      <c r="I200" s="197" t="s">
        <v>2245</v>
      </c>
      <c r="J200" s="197" t="s">
        <v>2691</v>
      </c>
      <c r="K200" s="7" t="s">
        <v>2960</v>
      </c>
      <c r="L200" s="2" t="s">
        <v>3253</v>
      </c>
      <c r="M200" s="2" t="s">
        <v>3254</v>
      </c>
      <c r="N200" s="3" t="s">
        <v>2347</v>
      </c>
      <c r="O200" s="197" t="s">
        <v>3215</v>
      </c>
      <c r="P200" s="197" t="s">
        <v>3215</v>
      </c>
      <c r="Q200" s="7" t="s">
        <v>3215</v>
      </c>
      <c r="R200" s="2" t="s">
        <v>3215</v>
      </c>
      <c r="S200" s="2" t="s">
        <v>3215</v>
      </c>
      <c r="T200" s="3" t="s">
        <v>3215</v>
      </c>
      <c r="U200" s="197" t="s">
        <v>3215</v>
      </c>
      <c r="V200" s="197" t="s">
        <v>3215</v>
      </c>
      <c r="W200" s="7" t="s">
        <v>3215</v>
      </c>
      <c r="X200" s="2" t="s">
        <v>3215</v>
      </c>
      <c r="Y200" s="2" t="s">
        <v>3215</v>
      </c>
      <c r="Z200" s="3" t="s">
        <v>3215</v>
      </c>
      <c r="AA200" s="197" t="s">
        <v>3215</v>
      </c>
      <c r="AB200" s="197" t="s">
        <v>3215</v>
      </c>
      <c r="AC200" s="7" t="s">
        <v>3215</v>
      </c>
      <c r="AD200" s="2" t="s">
        <v>3215</v>
      </c>
      <c r="AE200" s="2" t="s">
        <v>3215</v>
      </c>
      <c r="AF200" s="3" t="s">
        <v>3215</v>
      </c>
      <c r="AG200" s="197" t="s">
        <v>3215</v>
      </c>
      <c r="AH200" s="197" t="s">
        <v>3215</v>
      </c>
      <c r="AI200" s="7" t="s">
        <v>3215</v>
      </c>
      <c r="AJ200" s="2" t="s">
        <v>3215</v>
      </c>
      <c r="AK200" s="2" t="s">
        <v>3215</v>
      </c>
      <c r="AL200" s="3" t="s">
        <v>3215</v>
      </c>
      <c r="AM200" s="197" t="s">
        <v>3215</v>
      </c>
      <c r="AN200" s="197" t="s">
        <v>3215</v>
      </c>
      <c r="AO200" s="7" t="s">
        <v>3215</v>
      </c>
      <c r="AP200" s="2" t="s">
        <v>3215</v>
      </c>
      <c r="AQ200" s="2" t="s">
        <v>3215</v>
      </c>
      <c r="AR200" s="3" t="s">
        <v>3215</v>
      </c>
      <c r="AS200" s="280"/>
      <c r="AT200" s="280"/>
      <c r="AU200" s="2"/>
      <c r="AV200" s="2"/>
      <c r="AW200" s="2"/>
      <c r="AX200" s="2"/>
      <c r="AY200" s="280"/>
      <c r="AZ200" s="280"/>
      <c r="BA200" s="2"/>
      <c r="BB200" s="2"/>
      <c r="BC200" s="2"/>
      <c r="BD200" s="2"/>
      <c r="BE200" s="280"/>
      <c r="BF200" s="280"/>
      <c r="BG200" s="2"/>
      <c r="BH200" s="2"/>
      <c r="BI200" s="2"/>
      <c r="BJ200" s="2"/>
      <c r="BK200" s="280"/>
      <c r="BL200" s="280"/>
      <c r="BM200" s="2"/>
      <c r="BN200" s="2"/>
      <c r="BO200" s="2"/>
      <c r="BP200" s="2"/>
      <c r="BQ200" s="280"/>
      <c r="BR200" s="280"/>
      <c r="BS200" s="2"/>
      <c r="BT200" s="2"/>
      <c r="BU200" s="2"/>
      <c r="BV200" s="2"/>
      <c r="BW200" s="280"/>
      <c r="BX200" s="280"/>
      <c r="BY200" s="2"/>
      <c r="BZ200" s="2"/>
      <c r="CA200" s="2"/>
      <c r="CB200" s="2"/>
      <c r="CC200" s="280"/>
      <c r="CD200" s="280"/>
      <c r="CE200" s="2"/>
      <c r="CF200" s="2"/>
      <c r="CG200" s="2"/>
      <c r="CH200" s="2"/>
      <c r="CI200" s="280"/>
      <c r="CJ200" s="280"/>
      <c r="CK200" s="2"/>
      <c r="CL200" s="2"/>
      <c r="CM200" s="2"/>
      <c r="CN200" s="2"/>
      <c r="CO200" s="280"/>
      <c r="CP200" s="280"/>
      <c r="CQ200" s="2"/>
      <c r="CR200" s="2"/>
      <c r="CS200" s="2"/>
      <c r="CT200" s="2"/>
      <c r="CU200" s="280"/>
      <c r="CV200" s="280"/>
      <c r="CW200" s="2"/>
      <c r="CX200" s="2"/>
      <c r="CY200" s="2"/>
      <c r="CZ200" s="2"/>
      <c r="DA200" s="280"/>
      <c r="DB200" s="280"/>
      <c r="DC200" s="2"/>
      <c r="DD200" s="2"/>
      <c r="DE200" s="2"/>
      <c r="DF200" s="2"/>
      <c r="DG200" s="280"/>
      <c r="DH200" s="280"/>
      <c r="DI200" s="2"/>
      <c r="DJ200" s="2"/>
      <c r="DK200" s="2"/>
      <c r="DL200" s="2"/>
      <c r="DM200" s="280"/>
      <c r="DN200" s="280"/>
      <c r="DO200" s="2"/>
      <c r="DP200" s="2"/>
      <c r="DQ200" s="2"/>
      <c r="DR200" s="2"/>
    </row>
    <row r="201" spans="1:122" s="507" customFormat="1" ht="12.9" customHeight="1" x14ac:dyDescent="0.2">
      <c r="A201" s="505" t="str">
        <f>+'Past Quartets 1st - 3rd Place'!A212</f>
        <v>2009 P</v>
      </c>
      <c r="B201" s="505">
        <f>+'Past Quartets 1st - 3rd Place'!B212</f>
        <v>5</v>
      </c>
      <c r="C201" s="197" t="s">
        <v>3215</v>
      </c>
      <c r="D201" s="197" t="s">
        <v>3215</v>
      </c>
      <c r="E201" s="7" t="s">
        <v>3215</v>
      </c>
      <c r="F201" s="2" t="s">
        <v>3215</v>
      </c>
      <c r="G201" s="2" t="s">
        <v>3215</v>
      </c>
      <c r="H201" s="3" t="s">
        <v>3215</v>
      </c>
      <c r="I201" s="197" t="s">
        <v>3215</v>
      </c>
      <c r="J201" s="197" t="s">
        <v>3215</v>
      </c>
      <c r="K201" s="7" t="s">
        <v>3215</v>
      </c>
      <c r="L201" s="2" t="s">
        <v>3215</v>
      </c>
      <c r="M201" s="2" t="s">
        <v>3215</v>
      </c>
      <c r="N201" s="3" t="s">
        <v>3215</v>
      </c>
      <c r="O201" s="197" t="s">
        <v>3215</v>
      </c>
      <c r="P201" s="197" t="s">
        <v>3215</v>
      </c>
      <c r="Q201" s="7" t="s">
        <v>3215</v>
      </c>
      <c r="R201" s="2" t="s">
        <v>3215</v>
      </c>
      <c r="S201" s="2" t="s">
        <v>3215</v>
      </c>
      <c r="T201" s="3" t="s">
        <v>3215</v>
      </c>
      <c r="U201" s="197" t="s">
        <v>3215</v>
      </c>
      <c r="V201" s="197" t="s">
        <v>3215</v>
      </c>
      <c r="W201" s="7" t="s">
        <v>3215</v>
      </c>
      <c r="X201" s="2" t="s">
        <v>3215</v>
      </c>
      <c r="Y201" s="2" t="s">
        <v>3215</v>
      </c>
      <c r="Z201" s="3" t="s">
        <v>3215</v>
      </c>
      <c r="AA201" s="197" t="s">
        <v>3215</v>
      </c>
      <c r="AB201" s="197" t="s">
        <v>3215</v>
      </c>
      <c r="AC201" s="7" t="s">
        <v>3215</v>
      </c>
      <c r="AD201" s="2" t="s">
        <v>3215</v>
      </c>
      <c r="AE201" s="2" t="s">
        <v>3215</v>
      </c>
      <c r="AF201" s="3" t="s">
        <v>3215</v>
      </c>
      <c r="AG201" s="197" t="s">
        <v>3215</v>
      </c>
      <c r="AH201" s="197" t="s">
        <v>3215</v>
      </c>
      <c r="AI201" s="7" t="s">
        <v>3215</v>
      </c>
      <c r="AJ201" s="2" t="s">
        <v>3215</v>
      </c>
      <c r="AK201" s="2" t="s">
        <v>3215</v>
      </c>
      <c r="AL201" s="3" t="s">
        <v>3215</v>
      </c>
      <c r="AM201" s="197" t="s">
        <v>3215</v>
      </c>
      <c r="AN201" s="197" t="s">
        <v>3215</v>
      </c>
      <c r="AO201" s="7" t="s">
        <v>3215</v>
      </c>
      <c r="AP201" s="2" t="s">
        <v>3215</v>
      </c>
      <c r="AQ201" s="2" t="s">
        <v>3215</v>
      </c>
      <c r="AR201" s="3" t="s">
        <v>3215</v>
      </c>
      <c r="AS201" s="280"/>
      <c r="AT201" s="280"/>
      <c r="AU201" s="2"/>
      <c r="AV201" s="2"/>
      <c r="AW201" s="2"/>
      <c r="AX201" s="2"/>
      <c r="AY201" s="280"/>
      <c r="AZ201" s="280"/>
      <c r="BA201" s="2"/>
      <c r="BB201" s="2"/>
      <c r="BC201" s="2"/>
      <c r="BD201" s="2"/>
      <c r="BE201" s="280"/>
      <c r="BF201" s="280"/>
      <c r="BG201" s="2"/>
      <c r="BH201" s="2"/>
      <c r="BI201" s="2"/>
      <c r="BJ201" s="2"/>
      <c r="BK201" s="280"/>
      <c r="BL201" s="280"/>
      <c r="BM201" s="2"/>
      <c r="BN201" s="2"/>
      <c r="BO201" s="2"/>
      <c r="BP201" s="2"/>
      <c r="BQ201" s="280"/>
      <c r="BR201" s="280"/>
      <c r="BS201" s="2"/>
      <c r="BT201" s="2"/>
      <c r="BU201" s="2"/>
      <c r="BV201" s="2"/>
      <c r="BW201" s="280"/>
      <c r="BX201" s="280"/>
      <c r="BY201" s="2"/>
      <c r="BZ201" s="2"/>
      <c r="CA201" s="2"/>
      <c r="CB201" s="2"/>
      <c r="CC201" s="280"/>
      <c r="CD201" s="280"/>
      <c r="CE201" s="2"/>
      <c r="CF201" s="2"/>
      <c r="CG201" s="2"/>
      <c r="CH201" s="2"/>
      <c r="CI201" s="280"/>
      <c r="CJ201" s="280"/>
      <c r="CK201" s="2"/>
      <c r="CL201" s="2"/>
      <c r="CM201" s="2"/>
      <c r="CN201" s="2"/>
      <c r="CO201" s="280"/>
      <c r="CP201" s="280"/>
      <c r="CQ201" s="2"/>
      <c r="CR201" s="2"/>
      <c r="CS201" s="2"/>
      <c r="CT201" s="2"/>
      <c r="CU201" s="280"/>
      <c r="CV201" s="280"/>
      <c r="CW201" s="2"/>
      <c r="CX201" s="2"/>
      <c r="CY201" s="2"/>
      <c r="CZ201" s="2"/>
      <c r="DA201" s="280"/>
      <c r="DB201" s="280"/>
      <c r="DC201" s="2"/>
      <c r="DD201" s="2"/>
      <c r="DE201" s="2"/>
      <c r="DF201" s="2"/>
      <c r="DG201" s="280"/>
      <c r="DH201" s="280"/>
      <c r="DI201" s="2"/>
      <c r="DJ201" s="2"/>
      <c r="DK201" s="2"/>
      <c r="DL201" s="2"/>
      <c r="DM201" s="280"/>
      <c r="DN201" s="280"/>
      <c r="DO201" s="2"/>
      <c r="DP201" s="2"/>
      <c r="DQ201" s="2"/>
      <c r="DR201" s="2"/>
    </row>
    <row r="202" spans="1:122" s="507" customFormat="1" ht="12.9" customHeight="1" x14ac:dyDescent="0.2">
      <c r="A202" s="505" t="str">
        <f>+'Past Quartets 1st - 3rd Place'!A213</f>
        <v>2010 P</v>
      </c>
      <c r="B202" s="505">
        <f>+'Past Quartets 1st - 3rd Place'!B213</f>
        <v>7</v>
      </c>
      <c r="C202" s="197" t="s">
        <v>493</v>
      </c>
      <c r="D202" s="504" t="s">
        <v>504</v>
      </c>
      <c r="E202" s="2" t="s">
        <v>505</v>
      </c>
      <c r="F202" s="2" t="s">
        <v>1282</v>
      </c>
      <c r="G202" s="2" t="s">
        <v>1281</v>
      </c>
      <c r="H202" s="3" t="s">
        <v>1283</v>
      </c>
      <c r="I202" s="197" t="s">
        <v>3215</v>
      </c>
      <c r="J202" s="197" t="s">
        <v>3215</v>
      </c>
      <c r="K202" s="7" t="s">
        <v>3215</v>
      </c>
      <c r="L202" s="2" t="s">
        <v>3215</v>
      </c>
      <c r="M202" s="2" t="s">
        <v>3215</v>
      </c>
      <c r="N202" s="3" t="s">
        <v>3215</v>
      </c>
      <c r="O202" s="197" t="s">
        <v>3215</v>
      </c>
      <c r="P202" s="197" t="s">
        <v>3215</v>
      </c>
      <c r="Q202" s="7" t="s">
        <v>3215</v>
      </c>
      <c r="R202" s="2" t="s">
        <v>3215</v>
      </c>
      <c r="S202" s="2" t="s">
        <v>3215</v>
      </c>
      <c r="T202" s="3" t="s">
        <v>3215</v>
      </c>
      <c r="U202" s="197" t="s">
        <v>3215</v>
      </c>
      <c r="V202" s="197" t="s">
        <v>3215</v>
      </c>
      <c r="W202" s="7" t="s">
        <v>3215</v>
      </c>
      <c r="X202" s="2" t="s">
        <v>3215</v>
      </c>
      <c r="Y202" s="2" t="s">
        <v>3215</v>
      </c>
      <c r="Z202" s="3" t="s">
        <v>3215</v>
      </c>
      <c r="AA202" s="197" t="s">
        <v>3215</v>
      </c>
      <c r="AB202" s="197" t="s">
        <v>3215</v>
      </c>
      <c r="AC202" s="7" t="s">
        <v>3215</v>
      </c>
      <c r="AD202" s="2" t="s">
        <v>3215</v>
      </c>
      <c r="AE202" s="2" t="s">
        <v>3215</v>
      </c>
      <c r="AF202" s="3" t="s">
        <v>3215</v>
      </c>
      <c r="AG202" s="197" t="s">
        <v>3215</v>
      </c>
      <c r="AH202" s="197" t="s">
        <v>3215</v>
      </c>
      <c r="AI202" s="7" t="s">
        <v>3215</v>
      </c>
      <c r="AJ202" s="2" t="s">
        <v>3215</v>
      </c>
      <c r="AK202" s="2" t="s">
        <v>3215</v>
      </c>
      <c r="AL202" s="3" t="s">
        <v>3215</v>
      </c>
      <c r="AM202" s="197" t="s">
        <v>3215</v>
      </c>
      <c r="AN202" s="197" t="s">
        <v>3215</v>
      </c>
      <c r="AO202" s="7" t="s">
        <v>3215</v>
      </c>
      <c r="AP202" s="2" t="s">
        <v>3215</v>
      </c>
      <c r="AQ202" s="2" t="s">
        <v>3215</v>
      </c>
      <c r="AR202" s="3" t="s">
        <v>3215</v>
      </c>
      <c r="AS202" s="280"/>
      <c r="AT202" s="280"/>
      <c r="AU202" s="2"/>
      <c r="AV202" s="2"/>
      <c r="AW202" s="2"/>
      <c r="AX202" s="2"/>
      <c r="AY202" s="280"/>
      <c r="AZ202" s="280"/>
      <c r="BA202" s="2"/>
      <c r="BB202" s="2"/>
      <c r="BC202" s="2"/>
      <c r="BD202" s="2"/>
      <c r="BE202" s="280"/>
      <c r="BF202" s="280"/>
      <c r="BG202" s="2"/>
      <c r="BH202" s="2"/>
      <c r="BI202" s="2"/>
      <c r="BJ202" s="2"/>
      <c r="BK202" s="280"/>
      <c r="BL202" s="280"/>
      <c r="BM202" s="2"/>
      <c r="BN202" s="2"/>
      <c r="BO202" s="2"/>
      <c r="BP202" s="2"/>
      <c r="BQ202" s="280"/>
      <c r="BR202" s="280"/>
      <c r="BS202" s="2"/>
      <c r="BT202" s="2"/>
      <c r="BU202" s="2"/>
      <c r="BV202" s="2"/>
      <c r="BW202" s="280"/>
      <c r="BX202" s="280"/>
      <c r="BY202" s="2"/>
      <c r="BZ202" s="2"/>
      <c r="CA202" s="2"/>
      <c r="CB202" s="2"/>
      <c r="CC202" s="280"/>
      <c r="CD202" s="280"/>
      <c r="CE202" s="2"/>
      <c r="CF202" s="2"/>
      <c r="CG202" s="2"/>
      <c r="CH202" s="2"/>
      <c r="CI202" s="280"/>
      <c r="CJ202" s="280"/>
      <c r="CK202" s="2"/>
      <c r="CL202" s="2"/>
      <c r="CM202" s="2"/>
      <c r="CN202" s="2"/>
      <c r="CO202" s="280"/>
      <c r="CP202" s="280"/>
      <c r="CQ202" s="2"/>
      <c r="CR202" s="2"/>
      <c r="CS202" s="2"/>
      <c r="CT202" s="2"/>
      <c r="CU202" s="280"/>
      <c r="CV202" s="280"/>
      <c r="CW202" s="2"/>
      <c r="CX202" s="2"/>
      <c r="CY202" s="2"/>
      <c r="CZ202" s="2"/>
      <c r="DA202" s="280"/>
      <c r="DB202" s="280"/>
      <c r="DC202" s="2"/>
      <c r="DD202" s="2"/>
      <c r="DE202" s="2"/>
      <c r="DF202" s="2"/>
      <c r="DG202" s="280"/>
      <c r="DH202" s="280"/>
      <c r="DI202" s="2"/>
      <c r="DJ202" s="2"/>
      <c r="DK202" s="2"/>
      <c r="DL202" s="2"/>
      <c r="DM202" s="280"/>
      <c r="DN202" s="280"/>
      <c r="DO202" s="2"/>
      <c r="DP202" s="2"/>
      <c r="DQ202" s="2"/>
      <c r="DR202" s="2"/>
    </row>
    <row r="203" spans="1:122" s="507" customFormat="1" ht="12.9" customHeight="1" x14ac:dyDescent="0.2">
      <c r="A203" s="505" t="str">
        <f>+'Past Quartets 1st - 3rd Place'!A214</f>
        <v>2011 P</v>
      </c>
      <c r="B203" s="505">
        <f>+'Past Quartets 1st - 3rd Place'!B214</f>
        <v>13</v>
      </c>
      <c r="C203" s="197" t="s">
        <v>4003</v>
      </c>
      <c r="D203" s="504" t="s">
        <v>4079</v>
      </c>
      <c r="E203" s="2" t="s">
        <v>3870</v>
      </c>
      <c r="F203" s="2" t="s">
        <v>1226</v>
      </c>
      <c r="G203" s="2" t="s">
        <v>1227</v>
      </c>
      <c r="H203" s="3" t="s">
        <v>1228</v>
      </c>
      <c r="I203" s="197" t="s">
        <v>4004</v>
      </c>
      <c r="J203" s="504" t="s">
        <v>2184</v>
      </c>
      <c r="K203" s="2" t="s">
        <v>1229</v>
      </c>
      <c r="L203" s="2" t="s">
        <v>3553</v>
      </c>
      <c r="M203" s="2" t="s">
        <v>1230</v>
      </c>
      <c r="N203" s="3" t="s">
        <v>278</v>
      </c>
      <c r="O203" s="504" t="s">
        <v>1231</v>
      </c>
      <c r="P203" s="504" t="s">
        <v>4075</v>
      </c>
      <c r="Q203" s="2" t="s">
        <v>501</v>
      </c>
      <c r="R203" s="2" t="s">
        <v>1264</v>
      </c>
      <c r="S203" s="2" t="s">
        <v>502</v>
      </c>
      <c r="T203" s="3" t="s">
        <v>503</v>
      </c>
      <c r="U203" s="197" t="s">
        <v>495</v>
      </c>
      <c r="V203" s="504" t="s">
        <v>2639</v>
      </c>
      <c r="W203" s="2" t="s">
        <v>496</v>
      </c>
      <c r="X203" s="2" t="s">
        <v>497</v>
      </c>
      <c r="Y203" s="2" t="s">
        <v>498</v>
      </c>
      <c r="Z203" s="3" t="s">
        <v>499</v>
      </c>
      <c r="AA203" s="504" t="s">
        <v>1610</v>
      </c>
      <c r="AB203" s="504" t="s">
        <v>487</v>
      </c>
      <c r="AC203" s="2" t="s">
        <v>488</v>
      </c>
      <c r="AD203" s="2" t="s">
        <v>2136</v>
      </c>
      <c r="AE203" s="2" t="s">
        <v>2462</v>
      </c>
      <c r="AF203" s="3" t="s">
        <v>489</v>
      </c>
      <c r="AG203" s="197" t="s">
        <v>4005</v>
      </c>
      <c r="AH203" s="197" t="s">
        <v>1232</v>
      </c>
      <c r="AI203" s="7" t="s">
        <v>2527</v>
      </c>
      <c r="AJ203" s="2" t="s">
        <v>2528</v>
      </c>
      <c r="AK203" s="2" t="s">
        <v>1233</v>
      </c>
      <c r="AL203" s="3" t="s">
        <v>3911</v>
      </c>
      <c r="AM203" s="197" t="s">
        <v>4006</v>
      </c>
      <c r="AN203" s="197" t="s">
        <v>4041</v>
      </c>
      <c r="AO203" s="7" t="s">
        <v>2761</v>
      </c>
      <c r="AP203" s="2" t="s">
        <v>2762</v>
      </c>
      <c r="AQ203" s="2" t="s">
        <v>2763</v>
      </c>
      <c r="AR203" s="3" t="s">
        <v>2500</v>
      </c>
      <c r="AS203" s="280"/>
      <c r="AT203" s="280"/>
      <c r="AU203" s="2"/>
      <c r="AV203" s="2"/>
      <c r="AW203" s="2"/>
      <c r="AX203" s="2"/>
      <c r="AY203" s="280"/>
      <c r="AZ203" s="280"/>
      <c r="BA203" s="2"/>
      <c r="BB203" s="2"/>
      <c r="BC203" s="2"/>
      <c r="BD203" s="2"/>
      <c r="BE203" s="280"/>
      <c r="BF203" s="280"/>
      <c r="BG203" s="2"/>
      <c r="BH203" s="2"/>
      <c r="BI203" s="2"/>
      <c r="BJ203" s="2"/>
      <c r="BK203" s="280"/>
      <c r="BL203" s="280"/>
      <c r="BM203" s="2"/>
      <c r="BN203" s="2"/>
      <c r="BO203" s="2"/>
      <c r="BP203" s="2"/>
      <c r="BQ203" s="280"/>
      <c r="BR203" s="280"/>
      <c r="BS203" s="2"/>
      <c r="BT203" s="2"/>
      <c r="BU203" s="2"/>
      <c r="BV203" s="2"/>
      <c r="BW203" s="280"/>
      <c r="BX203" s="280"/>
      <c r="BY203" s="2"/>
      <c r="BZ203" s="2"/>
      <c r="CA203" s="2"/>
      <c r="CB203" s="2"/>
      <c r="CC203" s="280"/>
      <c r="CD203" s="280"/>
      <c r="CE203" s="2"/>
      <c r="CF203" s="2"/>
      <c r="CG203" s="2"/>
      <c r="CH203" s="2"/>
      <c r="CI203" s="280"/>
      <c r="CJ203" s="280"/>
      <c r="CK203" s="2"/>
      <c r="CL203" s="2"/>
      <c r="CM203" s="2"/>
      <c r="CN203" s="2"/>
      <c r="CO203" s="280"/>
      <c r="CP203" s="280"/>
      <c r="CQ203" s="2"/>
      <c r="CR203" s="2"/>
      <c r="CS203" s="2"/>
      <c r="CT203" s="2"/>
      <c r="CU203" s="280"/>
      <c r="CV203" s="280"/>
      <c r="CW203" s="2"/>
      <c r="CX203" s="2"/>
      <c r="CY203" s="2"/>
      <c r="CZ203" s="2"/>
      <c r="DA203" s="280"/>
      <c r="DB203" s="280"/>
      <c r="DC203" s="2"/>
      <c r="DD203" s="2"/>
      <c r="DE203" s="2"/>
      <c r="DF203" s="2"/>
      <c r="DG203" s="280"/>
      <c r="DH203" s="280"/>
      <c r="DI203" s="2"/>
      <c r="DJ203" s="2"/>
      <c r="DK203" s="2"/>
      <c r="DL203" s="2"/>
      <c r="DM203" s="280"/>
      <c r="DN203" s="280"/>
      <c r="DO203" s="2"/>
      <c r="DP203" s="2"/>
      <c r="DQ203" s="2"/>
      <c r="DR203" s="2"/>
    </row>
    <row r="204" spans="1:122" s="507" customFormat="1" ht="12.9" customHeight="1" x14ac:dyDescent="0.2">
      <c r="A204" s="505" t="str">
        <f>+'Past Quartets 1st - 3rd Place'!A215</f>
        <v>2012 P</v>
      </c>
      <c r="B204" s="505">
        <f>+'Past Quartets 1st - 3rd Place'!B215</f>
        <v>5</v>
      </c>
      <c r="C204" s="197"/>
      <c r="D204" s="504"/>
      <c r="E204" s="2"/>
      <c r="F204" s="2"/>
      <c r="G204" s="2"/>
      <c r="H204" s="3"/>
      <c r="I204" s="197"/>
      <c r="J204" s="504"/>
      <c r="K204" s="2"/>
      <c r="L204" s="2"/>
      <c r="M204" s="2"/>
      <c r="N204" s="3"/>
      <c r="O204" s="504"/>
      <c r="P204" s="504"/>
      <c r="Q204" s="2"/>
      <c r="R204" s="2"/>
      <c r="S204" s="2"/>
      <c r="T204" s="3"/>
      <c r="U204" s="197"/>
      <c r="V204" s="504"/>
      <c r="W204" s="2"/>
      <c r="X204" s="2"/>
      <c r="Y204" s="2"/>
      <c r="Z204" s="3"/>
      <c r="AA204" s="504"/>
      <c r="AB204" s="504"/>
      <c r="AC204" s="2"/>
      <c r="AD204" s="2"/>
      <c r="AE204" s="2"/>
      <c r="AF204" s="3"/>
      <c r="AG204" s="197"/>
      <c r="AH204" s="197"/>
      <c r="AI204" s="7"/>
      <c r="AJ204" s="2"/>
      <c r="AK204" s="2"/>
      <c r="AL204" s="3"/>
      <c r="AM204" s="197"/>
      <c r="AN204" s="197"/>
      <c r="AO204" s="7"/>
      <c r="AP204" s="2"/>
      <c r="AQ204" s="2"/>
      <c r="AR204" s="3"/>
      <c r="AS204" s="280"/>
      <c r="AT204" s="280"/>
      <c r="AU204" s="2"/>
      <c r="AV204" s="2"/>
      <c r="AW204" s="2"/>
      <c r="AX204" s="2"/>
      <c r="AY204" s="280"/>
      <c r="AZ204" s="280"/>
      <c r="BA204" s="2"/>
      <c r="BB204" s="2"/>
      <c r="BC204" s="2"/>
      <c r="BD204" s="2"/>
      <c r="BE204" s="280"/>
      <c r="BF204" s="280"/>
      <c r="BG204" s="2"/>
      <c r="BH204" s="2"/>
      <c r="BI204" s="2"/>
      <c r="BJ204" s="2"/>
      <c r="BK204" s="280"/>
      <c r="BL204" s="280"/>
      <c r="BM204" s="2"/>
      <c r="BN204" s="2"/>
      <c r="BO204" s="2"/>
      <c r="BP204" s="2"/>
      <c r="BQ204" s="280"/>
      <c r="BR204" s="280"/>
      <c r="BS204" s="2"/>
      <c r="BT204" s="2"/>
      <c r="BU204" s="2"/>
      <c r="BV204" s="2"/>
      <c r="BW204" s="280"/>
      <c r="BX204" s="280"/>
      <c r="BY204" s="2"/>
      <c r="BZ204" s="2"/>
      <c r="CA204" s="2"/>
      <c r="CB204" s="2"/>
      <c r="CC204" s="280"/>
      <c r="CD204" s="280"/>
      <c r="CE204" s="2"/>
      <c r="CF204" s="2"/>
      <c r="CG204" s="2"/>
      <c r="CH204" s="2"/>
      <c r="CI204" s="280"/>
      <c r="CJ204" s="280"/>
      <c r="CK204" s="2"/>
      <c r="CL204" s="2"/>
      <c r="CM204" s="2"/>
      <c r="CN204" s="2"/>
      <c r="CO204" s="280"/>
      <c r="CP204" s="280"/>
      <c r="CQ204" s="2"/>
      <c r="CR204" s="2"/>
      <c r="CS204" s="2"/>
      <c r="CT204" s="2"/>
      <c r="CU204" s="280"/>
      <c r="CV204" s="280"/>
      <c r="CW204" s="2"/>
      <c r="CX204" s="2"/>
      <c r="CY204" s="2"/>
      <c r="CZ204" s="2"/>
      <c r="DA204" s="280"/>
      <c r="DB204" s="280"/>
      <c r="DC204" s="2"/>
      <c r="DD204" s="2"/>
      <c r="DE204" s="2"/>
      <c r="DF204" s="2"/>
      <c r="DG204" s="280"/>
      <c r="DH204" s="280"/>
      <c r="DI204" s="2"/>
      <c r="DJ204" s="2"/>
      <c r="DK204" s="2"/>
      <c r="DL204" s="2"/>
      <c r="DM204" s="280"/>
      <c r="DN204" s="280"/>
      <c r="DO204" s="2"/>
      <c r="DP204" s="2"/>
      <c r="DQ204" s="2"/>
      <c r="DR204" s="2"/>
    </row>
    <row r="205" spans="1:122" s="507" customFormat="1" ht="12.9" customHeight="1" x14ac:dyDescent="0.2">
      <c r="A205" s="505" t="str">
        <f>+'Past Quartets 1st - 3rd Place'!A216</f>
        <v>2013 P</v>
      </c>
      <c r="B205" s="505">
        <f>+'Past Quartets 1st - 3rd Place'!B216</f>
        <v>12</v>
      </c>
      <c r="C205" s="197" t="s">
        <v>4622</v>
      </c>
      <c r="D205" s="197" t="s">
        <v>1010</v>
      </c>
      <c r="E205" s="7" t="s">
        <v>2965</v>
      </c>
      <c r="F205" s="2" t="s">
        <v>3472</v>
      </c>
      <c r="G205" s="2" t="s">
        <v>3081</v>
      </c>
      <c r="H205" s="3" t="s">
        <v>3368</v>
      </c>
      <c r="I205" s="197" t="s">
        <v>494</v>
      </c>
      <c r="J205" s="197" t="s">
        <v>3066</v>
      </c>
      <c r="K205" s="7" t="s">
        <v>501</v>
      </c>
      <c r="L205" s="2" t="s">
        <v>1264</v>
      </c>
      <c r="M205" s="2" t="s">
        <v>502</v>
      </c>
      <c r="N205" s="3" t="s">
        <v>503</v>
      </c>
      <c r="O205" s="197" t="s">
        <v>53</v>
      </c>
      <c r="P205" s="197" t="s">
        <v>314</v>
      </c>
      <c r="Q205" s="2" t="s">
        <v>54</v>
      </c>
      <c r="R205" s="2" t="s">
        <v>3041</v>
      </c>
      <c r="S205" s="2" t="s">
        <v>1421</v>
      </c>
      <c r="T205" s="3" t="s">
        <v>2136</v>
      </c>
      <c r="U205" s="197" t="s">
        <v>2875</v>
      </c>
      <c r="V205" s="504" t="s">
        <v>2184</v>
      </c>
      <c r="W205" s="2" t="s">
        <v>1229</v>
      </c>
      <c r="X205" s="2" t="s">
        <v>2917</v>
      </c>
      <c r="Y205" s="2" t="s">
        <v>1230</v>
      </c>
      <c r="Z205" s="3" t="s">
        <v>278</v>
      </c>
      <c r="AA205" s="197" t="s">
        <v>2876</v>
      </c>
      <c r="AB205" s="197" t="s">
        <v>579</v>
      </c>
      <c r="AC205" s="7" t="s">
        <v>2918</v>
      </c>
      <c r="AD205" s="2" t="s">
        <v>2919</v>
      </c>
      <c r="AE205" s="2" t="s">
        <v>2920</v>
      </c>
      <c r="AF205" s="3" t="s">
        <v>2921</v>
      </c>
      <c r="AG205" s="197" t="s">
        <v>2881</v>
      </c>
      <c r="AH205" s="197" t="s">
        <v>4621</v>
      </c>
      <c r="AI205" s="7" t="s">
        <v>2936</v>
      </c>
      <c r="AJ205" s="2" t="s">
        <v>182</v>
      </c>
      <c r="AK205" s="2" t="s">
        <v>2937</v>
      </c>
      <c r="AL205" s="3" t="s">
        <v>2938</v>
      </c>
      <c r="AM205" s="197"/>
      <c r="AN205" s="197"/>
      <c r="AO205" s="7"/>
      <c r="AP205" s="2"/>
      <c r="AQ205" s="2"/>
      <c r="AR205" s="3"/>
      <c r="AS205" s="280"/>
      <c r="AT205" s="280"/>
      <c r="AU205" s="2"/>
      <c r="AV205" s="2"/>
      <c r="AW205" s="2"/>
      <c r="AX205" s="2"/>
      <c r="AY205" s="280"/>
      <c r="AZ205" s="280"/>
      <c r="BA205" s="2"/>
      <c r="BB205" s="2"/>
      <c r="BC205" s="2"/>
      <c r="BD205" s="2"/>
      <c r="BE205" s="280"/>
      <c r="BF205" s="280"/>
      <c r="BG205" s="2"/>
      <c r="BH205" s="2"/>
      <c r="BI205" s="2"/>
      <c r="BJ205" s="2"/>
      <c r="BK205" s="280"/>
      <c r="BL205" s="280"/>
      <c r="BM205" s="2"/>
      <c r="BN205" s="2"/>
      <c r="BO205" s="2"/>
      <c r="BP205" s="2"/>
      <c r="BQ205" s="280"/>
      <c r="BR205" s="280"/>
      <c r="BS205" s="2"/>
      <c r="BT205" s="2"/>
      <c r="BU205" s="2"/>
      <c r="BV205" s="2"/>
      <c r="BW205" s="280"/>
      <c r="BX205" s="280"/>
      <c r="BY205" s="2"/>
      <c r="BZ205" s="2"/>
      <c r="CA205" s="2"/>
      <c r="CB205" s="2"/>
      <c r="CC205" s="280"/>
      <c r="CD205" s="280"/>
      <c r="CE205" s="2"/>
      <c r="CF205" s="2"/>
      <c r="CG205" s="2"/>
      <c r="CH205" s="2"/>
      <c r="CI205" s="280"/>
      <c r="CJ205" s="280"/>
      <c r="CK205" s="2"/>
      <c r="CL205" s="2"/>
      <c r="CM205" s="2"/>
      <c r="CN205" s="2"/>
      <c r="CO205" s="280"/>
      <c r="CP205" s="280"/>
      <c r="CQ205" s="2"/>
      <c r="CR205" s="2"/>
      <c r="CS205" s="2"/>
      <c r="CT205" s="2"/>
      <c r="CU205" s="280"/>
      <c r="CV205" s="280"/>
      <c r="CW205" s="2"/>
      <c r="CX205" s="2"/>
      <c r="CY205" s="2"/>
      <c r="CZ205" s="2"/>
      <c r="DA205" s="280"/>
      <c r="DB205" s="280"/>
      <c r="DC205" s="2"/>
      <c r="DD205" s="2"/>
      <c r="DE205" s="2"/>
      <c r="DF205" s="2"/>
      <c r="DG205" s="280"/>
      <c r="DH205" s="280"/>
      <c r="DI205" s="2"/>
      <c r="DJ205" s="2"/>
      <c r="DK205" s="2"/>
      <c r="DL205" s="2"/>
      <c r="DM205" s="280"/>
      <c r="DN205" s="280"/>
      <c r="DO205" s="2"/>
      <c r="DP205" s="2"/>
      <c r="DQ205" s="2"/>
      <c r="DR205" s="2"/>
    </row>
    <row r="206" spans="1:122" s="507" customFormat="1" ht="12.9" customHeight="1" x14ac:dyDescent="0.2">
      <c r="A206" s="505" t="str">
        <f>+'Past Quartets 1st - 3rd Place'!A217</f>
        <v>2014 P</v>
      </c>
      <c r="B206" s="505">
        <f>+'Past Quartets 1st - 3rd Place'!B217</f>
        <v>8</v>
      </c>
      <c r="C206" s="197" t="s">
        <v>2525</v>
      </c>
      <c r="D206" s="197" t="s">
        <v>148</v>
      </c>
      <c r="E206" s="7" t="s">
        <v>2527</v>
      </c>
      <c r="F206" s="2" t="s">
        <v>2528</v>
      </c>
      <c r="G206" s="2" t="s">
        <v>2530</v>
      </c>
      <c r="H206" s="3" t="s">
        <v>1502</v>
      </c>
      <c r="I206" s="197" t="s">
        <v>2875</v>
      </c>
      <c r="J206" s="504" t="s">
        <v>2184</v>
      </c>
      <c r="K206" s="2" t="s">
        <v>1229</v>
      </c>
      <c r="L206" s="2" t="s">
        <v>2917</v>
      </c>
      <c r="M206" s="2" t="s">
        <v>1230</v>
      </c>
      <c r="N206" s="3" t="s">
        <v>278</v>
      </c>
      <c r="O206" s="197"/>
      <c r="P206" s="197"/>
      <c r="Q206" s="2"/>
      <c r="R206" s="2"/>
      <c r="S206" s="2"/>
      <c r="T206" s="3"/>
      <c r="U206" s="197"/>
      <c r="V206" s="504"/>
      <c r="W206" s="2"/>
      <c r="X206" s="2"/>
      <c r="Y206" s="2"/>
      <c r="Z206" s="3"/>
      <c r="AA206" s="197"/>
      <c r="AB206" s="197"/>
      <c r="AC206" s="7"/>
      <c r="AD206" s="2"/>
      <c r="AE206" s="2"/>
      <c r="AF206" s="3"/>
      <c r="AG206" s="197"/>
      <c r="AH206" s="197"/>
      <c r="AI206" s="7"/>
      <c r="AJ206" s="2"/>
      <c r="AK206" s="2"/>
      <c r="AL206" s="3"/>
      <c r="AM206" s="197"/>
      <c r="AN206" s="197"/>
      <c r="AO206" s="7"/>
      <c r="AP206" s="2"/>
      <c r="AQ206" s="2"/>
      <c r="AR206" s="3"/>
      <c r="AS206" s="280"/>
      <c r="AT206" s="280"/>
      <c r="AU206" s="2"/>
      <c r="AV206" s="2"/>
      <c r="AW206" s="2"/>
      <c r="AX206" s="2"/>
      <c r="AY206" s="280"/>
      <c r="AZ206" s="280"/>
      <c r="BA206" s="2"/>
      <c r="BB206" s="2"/>
      <c r="BC206" s="2"/>
      <c r="BD206" s="2"/>
      <c r="BE206" s="280"/>
      <c r="BF206" s="280"/>
      <c r="BG206" s="2"/>
      <c r="BH206" s="2"/>
      <c r="BI206" s="2"/>
      <c r="BJ206" s="2"/>
      <c r="BK206" s="280"/>
      <c r="BL206" s="280"/>
      <c r="BM206" s="2"/>
      <c r="BN206" s="2"/>
      <c r="BO206" s="2"/>
      <c r="BP206" s="2"/>
      <c r="BQ206" s="280"/>
      <c r="BR206" s="280"/>
      <c r="BS206" s="2"/>
      <c r="BT206" s="2"/>
      <c r="BU206" s="2"/>
      <c r="BV206" s="2"/>
      <c r="BW206" s="280"/>
      <c r="BX206" s="280"/>
      <c r="BY206" s="2"/>
      <c r="BZ206" s="2"/>
      <c r="CA206" s="2"/>
      <c r="CB206" s="2"/>
      <c r="CC206" s="280"/>
      <c r="CD206" s="280"/>
      <c r="CE206" s="2"/>
      <c r="CF206" s="2"/>
      <c r="CG206" s="2"/>
      <c r="CH206" s="2"/>
      <c r="CI206" s="280"/>
      <c r="CJ206" s="280"/>
      <c r="CK206" s="2"/>
      <c r="CL206" s="2"/>
      <c r="CM206" s="2"/>
      <c r="CN206" s="2"/>
      <c r="CO206" s="280"/>
      <c r="CP206" s="280"/>
      <c r="CQ206" s="2"/>
      <c r="CR206" s="2"/>
      <c r="CS206" s="2"/>
      <c r="CT206" s="2"/>
      <c r="CU206" s="280"/>
      <c r="CV206" s="280"/>
      <c r="CW206" s="2"/>
      <c r="CX206" s="2"/>
      <c r="CY206" s="2"/>
      <c r="CZ206" s="2"/>
      <c r="DA206" s="280"/>
      <c r="DB206" s="280"/>
      <c r="DC206" s="2"/>
      <c r="DD206" s="2"/>
      <c r="DE206" s="2"/>
      <c r="DF206" s="2"/>
      <c r="DG206" s="280"/>
      <c r="DH206" s="280"/>
      <c r="DI206" s="2"/>
      <c r="DJ206" s="2"/>
      <c r="DK206" s="2"/>
      <c r="DL206" s="2"/>
      <c r="DM206" s="280"/>
      <c r="DN206" s="280"/>
      <c r="DO206" s="2"/>
      <c r="DP206" s="2"/>
      <c r="DQ206" s="2"/>
      <c r="DR206" s="2"/>
    </row>
    <row r="207" spans="1:122" s="507" customFormat="1" ht="12.9" customHeight="1" x14ac:dyDescent="0.2">
      <c r="A207" s="505" t="str">
        <f>+'Past Quartets 1st - 3rd Place'!A218</f>
        <v>2015 P</v>
      </c>
      <c r="B207" s="505">
        <f>+'Past Quartets 1st - 3rd Place'!B218</f>
        <v>4</v>
      </c>
      <c r="C207" s="197"/>
      <c r="D207" s="197"/>
      <c r="E207" s="7"/>
      <c r="F207" s="2"/>
      <c r="G207" s="2"/>
      <c r="H207" s="3"/>
      <c r="I207" s="197"/>
      <c r="J207" s="504"/>
      <c r="K207" s="2"/>
      <c r="L207" s="2"/>
      <c r="M207" s="2"/>
      <c r="N207" s="3"/>
      <c r="O207" s="197"/>
      <c r="P207" s="197"/>
      <c r="Q207" s="2"/>
      <c r="R207" s="2"/>
      <c r="S207" s="2"/>
      <c r="T207" s="3"/>
      <c r="U207" s="197"/>
      <c r="V207" s="504"/>
      <c r="W207" s="2"/>
      <c r="X207" s="2"/>
      <c r="Y207" s="2"/>
      <c r="Z207" s="3"/>
      <c r="AA207" s="197"/>
      <c r="AB207" s="197"/>
      <c r="AC207" s="7"/>
      <c r="AD207" s="2"/>
      <c r="AE207" s="2"/>
      <c r="AF207" s="3"/>
      <c r="AG207" s="197"/>
      <c r="AH207" s="197"/>
      <c r="AI207" s="7"/>
      <c r="AJ207" s="2"/>
      <c r="AK207" s="2"/>
      <c r="AL207" s="3"/>
      <c r="AM207" s="197"/>
      <c r="AN207" s="197"/>
      <c r="AO207" s="7"/>
      <c r="AP207" s="2"/>
      <c r="AQ207" s="2"/>
      <c r="AR207" s="3"/>
      <c r="AS207" s="280"/>
      <c r="AT207" s="280"/>
      <c r="AU207" s="2"/>
      <c r="AV207" s="2"/>
      <c r="AW207" s="2"/>
      <c r="AX207" s="2"/>
      <c r="AY207" s="280"/>
      <c r="AZ207" s="280"/>
      <c r="BA207" s="2"/>
      <c r="BB207" s="2"/>
      <c r="BC207" s="2"/>
      <c r="BD207" s="2"/>
      <c r="BE207" s="280"/>
      <c r="BF207" s="280"/>
      <c r="BG207" s="2"/>
      <c r="BH207" s="2"/>
      <c r="BI207" s="2"/>
      <c r="BJ207" s="2"/>
      <c r="BK207" s="280"/>
      <c r="BL207" s="280"/>
      <c r="BM207" s="2"/>
      <c r="BN207" s="2"/>
      <c r="BO207" s="2"/>
      <c r="BP207" s="2"/>
      <c r="BQ207" s="280"/>
      <c r="BR207" s="280"/>
      <c r="BS207" s="2"/>
      <c r="BT207" s="2"/>
      <c r="BU207" s="2"/>
      <c r="BV207" s="2"/>
      <c r="BW207" s="280"/>
      <c r="BX207" s="280"/>
      <c r="BY207" s="2"/>
      <c r="BZ207" s="2"/>
      <c r="CA207" s="2"/>
      <c r="CB207" s="2"/>
      <c r="CC207" s="280"/>
      <c r="CD207" s="280"/>
      <c r="CE207" s="2"/>
      <c r="CF207" s="2"/>
      <c r="CG207" s="2"/>
      <c r="CH207" s="2"/>
      <c r="CI207" s="280"/>
      <c r="CJ207" s="280"/>
      <c r="CK207" s="2"/>
      <c r="CL207" s="2"/>
      <c r="CM207" s="2"/>
      <c r="CN207" s="2"/>
      <c r="CO207" s="280"/>
      <c r="CP207" s="280"/>
      <c r="CQ207" s="2"/>
      <c r="CR207" s="2"/>
      <c r="CS207" s="2"/>
      <c r="CT207" s="2"/>
      <c r="CU207" s="280"/>
      <c r="CV207" s="280"/>
      <c r="CW207" s="2"/>
      <c r="CX207" s="2"/>
      <c r="CY207" s="2"/>
      <c r="CZ207" s="2"/>
      <c r="DA207" s="280"/>
      <c r="DB207" s="280"/>
      <c r="DC207" s="2"/>
      <c r="DD207" s="2"/>
      <c r="DE207" s="2"/>
      <c r="DF207" s="2"/>
      <c r="DG207" s="280"/>
      <c r="DH207" s="280"/>
      <c r="DI207" s="2"/>
      <c r="DJ207" s="2"/>
      <c r="DK207" s="2"/>
      <c r="DL207" s="2"/>
      <c r="DM207" s="280"/>
      <c r="DN207" s="280"/>
      <c r="DO207" s="2"/>
      <c r="DP207" s="2"/>
      <c r="DQ207" s="2"/>
      <c r="DR207" s="2"/>
    </row>
    <row r="208" spans="1:122" s="507" customFormat="1" ht="12.9" customHeight="1" x14ac:dyDescent="0.2">
      <c r="A208" s="505" t="str">
        <f>+'Past Quartets 1st - 3rd Place'!A219</f>
        <v>2016 P</v>
      </c>
      <c r="B208" s="505">
        <f>+'Past Quartets 1st - 3rd Place'!B219</f>
        <v>7</v>
      </c>
      <c r="C208" s="197" t="s">
        <v>4379</v>
      </c>
      <c r="D208" s="504" t="s">
        <v>17</v>
      </c>
      <c r="E208" s="2" t="s">
        <v>4380</v>
      </c>
      <c r="F208" s="2" t="s">
        <v>4381</v>
      </c>
      <c r="G208" s="2" t="s">
        <v>4382</v>
      </c>
      <c r="H208" s="3" t="s">
        <v>2139</v>
      </c>
      <c r="I208" s="197"/>
      <c r="J208" s="504"/>
      <c r="K208" s="2"/>
      <c r="L208" s="2"/>
      <c r="M208" s="2"/>
      <c r="N208" s="3"/>
      <c r="O208" s="197"/>
      <c r="P208" s="197"/>
      <c r="Q208" s="2"/>
      <c r="R208" s="2"/>
      <c r="S208" s="2"/>
      <c r="T208" s="3"/>
      <c r="U208" s="197"/>
      <c r="V208" s="504"/>
      <c r="W208" s="2"/>
      <c r="X208" s="2"/>
      <c r="Y208" s="2"/>
      <c r="Z208" s="3"/>
      <c r="AA208" s="197"/>
      <c r="AB208" s="197"/>
      <c r="AC208" s="7"/>
      <c r="AD208" s="2"/>
      <c r="AE208" s="2"/>
      <c r="AF208" s="3"/>
      <c r="AG208" s="197"/>
      <c r="AH208" s="197"/>
      <c r="AI208" s="7"/>
      <c r="AJ208" s="2"/>
      <c r="AK208" s="2"/>
      <c r="AL208" s="3"/>
      <c r="AM208" s="197"/>
      <c r="AN208" s="197"/>
      <c r="AO208" s="7"/>
      <c r="AP208" s="2"/>
      <c r="AQ208" s="2"/>
      <c r="AR208" s="3"/>
      <c r="AS208" s="280"/>
      <c r="AT208" s="280"/>
      <c r="AU208" s="2"/>
      <c r="AV208" s="2"/>
      <c r="AW208" s="2"/>
      <c r="AX208" s="2"/>
      <c r="AY208" s="280"/>
      <c r="AZ208" s="280"/>
      <c r="BA208" s="2"/>
      <c r="BB208" s="2"/>
      <c r="BC208" s="2"/>
      <c r="BD208" s="2"/>
      <c r="BE208" s="280"/>
      <c r="BF208" s="280"/>
      <c r="BG208" s="2"/>
      <c r="BH208" s="2"/>
      <c r="BI208" s="2"/>
      <c r="BJ208" s="2"/>
      <c r="BK208" s="280"/>
      <c r="BL208" s="280"/>
      <c r="BM208" s="2"/>
      <c r="BN208" s="2"/>
      <c r="BO208" s="2"/>
      <c r="BP208" s="2"/>
      <c r="BQ208" s="280"/>
      <c r="BR208" s="280"/>
      <c r="BS208" s="2"/>
      <c r="BT208" s="2"/>
      <c r="BU208" s="2"/>
      <c r="BV208" s="2"/>
      <c r="BW208" s="280"/>
      <c r="BX208" s="280"/>
      <c r="BY208" s="2"/>
      <c r="BZ208" s="2"/>
      <c r="CA208" s="2"/>
      <c r="CB208" s="2"/>
      <c r="CC208" s="280"/>
      <c r="CD208" s="280"/>
      <c r="CE208" s="2"/>
      <c r="CF208" s="2"/>
      <c r="CG208" s="2"/>
      <c r="CH208" s="2"/>
      <c r="CI208" s="280"/>
      <c r="CJ208" s="280"/>
      <c r="CK208" s="2"/>
      <c r="CL208" s="2"/>
      <c r="CM208" s="2"/>
      <c r="CN208" s="2"/>
      <c r="CO208" s="280"/>
      <c r="CP208" s="280"/>
      <c r="CQ208" s="2"/>
      <c r="CR208" s="2"/>
      <c r="CS208" s="2"/>
      <c r="CT208" s="2"/>
      <c r="CU208" s="280"/>
      <c r="CV208" s="280"/>
      <c r="CW208" s="2"/>
      <c r="CX208" s="2"/>
      <c r="CY208" s="2"/>
      <c r="CZ208" s="2"/>
      <c r="DA208" s="280"/>
      <c r="DB208" s="280"/>
      <c r="DC208" s="2"/>
      <c r="DD208" s="2"/>
      <c r="DE208" s="2"/>
      <c r="DF208" s="2"/>
      <c r="DG208" s="280"/>
      <c r="DH208" s="280"/>
      <c r="DI208" s="2"/>
      <c r="DJ208" s="2"/>
      <c r="DK208" s="2"/>
      <c r="DL208" s="2"/>
      <c r="DM208" s="280"/>
      <c r="DN208" s="280"/>
      <c r="DO208" s="2"/>
      <c r="DP208" s="2"/>
      <c r="DQ208" s="2"/>
      <c r="DR208" s="2"/>
    </row>
    <row r="209" spans="1:122" s="507" customFormat="1" ht="12.9" customHeight="1" x14ac:dyDescent="0.2">
      <c r="A209" s="505" t="str">
        <f>+'Past Quartets 1st - 3rd Place'!A220</f>
        <v>2017 P</v>
      </c>
      <c r="B209" s="505">
        <f>+'Past Quartets 1st - 3rd Place'!B220</f>
        <v>4</v>
      </c>
      <c r="C209" s="197"/>
      <c r="D209" s="504"/>
      <c r="E209" s="2"/>
      <c r="F209" s="2"/>
      <c r="G209" s="2"/>
      <c r="H209" s="3"/>
      <c r="I209" s="197"/>
      <c r="J209" s="504"/>
      <c r="K209" s="2"/>
      <c r="L209" s="2"/>
      <c r="M209" s="2"/>
      <c r="N209" s="3"/>
      <c r="O209" s="197"/>
      <c r="P209" s="197"/>
      <c r="Q209" s="2"/>
      <c r="R209" s="2"/>
      <c r="S209" s="2"/>
      <c r="T209" s="3"/>
      <c r="U209" s="197"/>
      <c r="V209" s="504"/>
      <c r="W209" s="2"/>
      <c r="X209" s="2"/>
      <c r="Y209" s="2"/>
      <c r="Z209" s="3"/>
      <c r="AA209" s="197"/>
      <c r="AB209" s="197"/>
      <c r="AC209" s="7"/>
      <c r="AD209" s="2"/>
      <c r="AE209" s="2"/>
      <c r="AF209" s="3"/>
      <c r="AG209" s="197"/>
      <c r="AH209" s="197"/>
      <c r="AI209" s="7"/>
      <c r="AJ209" s="2"/>
      <c r="AK209" s="2"/>
      <c r="AL209" s="3"/>
      <c r="AM209" s="197"/>
      <c r="AN209" s="197"/>
      <c r="AO209" s="7"/>
      <c r="AP209" s="2"/>
      <c r="AQ209" s="2"/>
      <c r="AR209" s="3"/>
      <c r="AS209" s="280"/>
      <c r="AT209" s="280"/>
      <c r="AU209" s="2"/>
      <c r="AV209" s="2"/>
      <c r="AW209" s="2"/>
      <c r="AX209" s="2"/>
      <c r="AY209" s="280"/>
      <c r="AZ209" s="280"/>
      <c r="BA209" s="2"/>
      <c r="BB209" s="2"/>
      <c r="BC209" s="2"/>
      <c r="BD209" s="2"/>
      <c r="BE209" s="280"/>
      <c r="BF209" s="280"/>
      <c r="BG209" s="2"/>
      <c r="BH209" s="2"/>
      <c r="BI209" s="2"/>
      <c r="BJ209" s="2"/>
      <c r="BK209" s="280"/>
      <c r="BL209" s="280"/>
      <c r="BM209" s="2"/>
      <c r="BN209" s="2"/>
      <c r="BO209" s="2"/>
      <c r="BP209" s="2"/>
      <c r="BQ209" s="280"/>
      <c r="BR209" s="280"/>
      <c r="BS209" s="2"/>
      <c r="BT209" s="2"/>
      <c r="BU209" s="2"/>
      <c r="BV209" s="2"/>
      <c r="BW209" s="280"/>
      <c r="BX209" s="280"/>
      <c r="BY209" s="2"/>
      <c r="BZ209" s="2"/>
      <c r="CA209" s="2"/>
      <c r="CB209" s="2"/>
      <c r="CC209" s="280"/>
      <c r="CD209" s="280"/>
      <c r="CE209" s="2"/>
      <c r="CF209" s="2"/>
      <c r="CG209" s="2"/>
      <c r="CH209" s="2"/>
      <c r="CI209" s="280"/>
      <c r="CJ209" s="280"/>
      <c r="CK209" s="2"/>
      <c r="CL209" s="2"/>
      <c r="CM209" s="2"/>
      <c r="CN209" s="2"/>
      <c r="CO209" s="280"/>
      <c r="CP209" s="280"/>
      <c r="CQ209" s="2"/>
      <c r="CR209" s="2"/>
      <c r="CS209" s="2"/>
      <c r="CT209" s="2"/>
      <c r="CU209" s="280"/>
      <c r="CV209" s="280"/>
      <c r="CW209" s="2"/>
      <c r="CX209" s="2"/>
      <c r="CY209" s="2"/>
      <c r="CZ209" s="2"/>
      <c r="DA209" s="280"/>
      <c r="DB209" s="280"/>
      <c r="DC209" s="2"/>
      <c r="DD209" s="2"/>
      <c r="DE209" s="2"/>
      <c r="DF209" s="2"/>
      <c r="DG209" s="280"/>
      <c r="DH209" s="280"/>
      <c r="DI209" s="2"/>
      <c r="DJ209" s="2"/>
      <c r="DK209" s="2"/>
      <c r="DL209" s="2"/>
      <c r="DM209" s="280"/>
      <c r="DN209" s="280"/>
      <c r="DO209" s="2"/>
      <c r="DP209" s="2"/>
      <c r="DQ209" s="2"/>
      <c r="DR209" s="2"/>
    </row>
    <row r="210" spans="1:122" s="507" customFormat="1" ht="12.9" customHeight="1" x14ac:dyDescent="0.2">
      <c r="A210" s="505" t="str">
        <f>+'Past Quartets 1st - 3rd Place'!A221</f>
        <v>2018 P</v>
      </c>
      <c r="B210" s="505">
        <f>+'Past Quartets 1st - 3rd Place'!B221</f>
        <v>4</v>
      </c>
      <c r="C210" s="197"/>
      <c r="D210" s="504"/>
      <c r="E210" s="2"/>
      <c r="F210" s="2"/>
      <c r="G210" s="2"/>
      <c r="H210" s="3"/>
      <c r="I210" s="197"/>
      <c r="J210" s="504"/>
      <c r="K210" s="2"/>
      <c r="L210" s="2"/>
      <c r="M210" s="2"/>
      <c r="N210" s="3"/>
      <c r="O210" s="197"/>
      <c r="P210" s="197"/>
      <c r="Q210" s="2"/>
      <c r="R210" s="2"/>
      <c r="S210" s="2"/>
      <c r="T210" s="3"/>
      <c r="U210" s="197"/>
      <c r="V210" s="504"/>
      <c r="W210" s="2"/>
      <c r="X210" s="2"/>
      <c r="Y210" s="2"/>
      <c r="Z210" s="3"/>
      <c r="AA210" s="197"/>
      <c r="AB210" s="197"/>
      <c r="AC210" s="7"/>
      <c r="AD210" s="2"/>
      <c r="AE210" s="2"/>
      <c r="AF210" s="3"/>
      <c r="AG210" s="197"/>
      <c r="AH210" s="197"/>
      <c r="AI210" s="7"/>
      <c r="AJ210" s="2"/>
      <c r="AK210" s="2"/>
      <c r="AL210" s="3"/>
      <c r="AM210" s="197"/>
      <c r="AN210" s="197"/>
      <c r="AO210" s="7"/>
      <c r="AP210" s="2"/>
      <c r="AQ210" s="2"/>
      <c r="AR210" s="3"/>
      <c r="AS210" s="280"/>
      <c r="AT210" s="280"/>
      <c r="AU210" s="2"/>
      <c r="AV210" s="2"/>
      <c r="AW210" s="2"/>
      <c r="AX210" s="2"/>
      <c r="AY210" s="280"/>
      <c r="AZ210" s="280"/>
      <c r="BA210" s="2"/>
      <c r="BB210" s="2"/>
      <c r="BC210" s="2"/>
      <c r="BD210" s="2"/>
      <c r="BE210" s="280"/>
      <c r="BF210" s="280"/>
      <c r="BG210" s="2"/>
      <c r="BH210" s="2"/>
      <c r="BI210" s="2"/>
      <c r="BJ210" s="2"/>
      <c r="BK210" s="280"/>
      <c r="BL210" s="280"/>
      <c r="BM210" s="2"/>
      <c r="BN210" s="2"/>
      <c r="BO210" s="2"/>
      <c r="BP210" s="2"/>
      <c r="BQ210" s="280"/>
      <c r="BR210" s="280"/>
      <c r="BS210" s="2"/>
      <c r="BT210" s="2"/>
      <c r="BU210" s="2"/>
      <c r="BV210" s="2"/>
      <c r="BW210" s="280"/>
      <c r="BX210" s="280"/>
      <c r="BY210" s="2"/>
      <c r="BZ210" s="2"/>
      <c r="CA210" s="2"/>
      <c r="CB210" s="2"/>
      <c r="CC210" s="280"/>
      <c r="CD210" s="280"/>
      <c r="CE210" s="2"/>
      <c r="CF210" s="2"/>
      <c r="CG210" s="2"/>
      <c r="CH210" s="2"/>
      <c r="CI210" s="280"/>
      <c r="CJ210" s="280"/>
      <c r="CK210" s="2"/>
      <c r="CL210" s="2"/>
      <c r="CM210" s="2"/>
      <c r="CN210" s="2"/>
      <c r="CO210" s="280"/>
      <c r="CP210" s="280"/>
      <c r="CQ210" s="2"/>
      <c r="CR210" s="2"/>
      <c r="CS210" s="2"/>
      <c r="CT210" s="2"/>
      <c r="CU210" s="280"/>
      <c r="CV210" s="280"/>
      <c r="CW210" s="2"/>
      <c r="CX210" s="2"/>
      <c r="CY210" s="2"/>
      <c r="CZ210" s="2"/>
      <c r="DA210" s="280"/>
      <c r="DB210" s="280"/>
      <c r="DC210" s="2"/>
      <c r="DD210" s="2"/>
      <c r="DE210" s="2"/>
      <c r="DF210" s="2"/>
      <c r="DG210" s="280"/>
      <c r="DH210" s="280"/>
      <c r="DI210" s="2"/>
      <c r="DJ210" s="2"/>
      <c r="DK210" s="2"/>
      <c r="DL210" s="2"/>
      <c r="DM210" s="280"/>
      <c r="DN210" s="280"/>
      <c r="DO210" s="2"/>
      <c r="DP210" s="2"/>
      <c r="DQ210" s="2"/>
      <c r="DR210" s="2"/>
    </row>
    <row r="211" spans="1:122" s="507" customFormat="1" ht="12.9" customHeight="1" x14ac:dyDescent="0.2">
      <c r="A211" s="505" t="str">
        <f>+'Past Quartets 1st - 3rd Place'!A222</f>
        <v>2019 P</v>
      </c>
      <c r="B211" s="505">
        <f>+'Past Quartets 1st - 3rd Place'!B222</f>
        <v>7</v>
      </c>
      <c r="C211" s="197" t="s">
        <v>4776</v>
      </c>
      <c r="D211" s="504"/>
      <c r="E211" s="2" t="s">
        <v>4777</v>
      </c>
      <c r="F211" s="2" t="s">
        <v>4778</v>
      </c>
      <c r="G211" s="2" t="s">
        <v>4779</v>
      </c>
      <c r="H211" s="3" t="s">
        <v>4780</v>
      </c>
      <c r="I211" s="197"/>
      <c r="J211" s="504"/>
      <c r="K211" s="2"/>
      <c r="L211" s="2"/>
      <c r="M211" s="2"/>
      <c r="N211" s="3"/>
      <c r="O211" s="197"/>
      <c r="P211" s="197"/>
      <c r="Q211" s="2"/>
      <c r="R211" s="2"/>
      <c r="S211" s="2"/>
      <c r="T211" s="3"/>
      <c r="U211" s="197"/>
      <c r="V211" s="504"/>
      <c r="W211" s="2"/>
      <c r="X211" s="2"/>
      <c r="Y211" s="2"/>
      <c r="Z211" s="3"/>
      <c r="AA211" s="197"/>
      <c r="AB211" s="197"/>
      <c r="AC211" s="7"/>
      <c r="AD211" s="2"/>
      <c r="AE211" s="2"/>
      <c r="AF211" s="3"/>
      <c r="AG211" s="197"/>
      <c r="AH211" s="197"/>
      <c r="AI211" s="7"/>
      <c r="AJ211" s="2"/>
      <c r="AK211" s="2"/>
      <c r="AL211" s="3"/>
      <c r="AM211" s="197"/>
      <c r="AN211" s="197"/>
      <c r="AO211" s="7"/>
      <c r="AP211" s="2"/>
      <c r="AQ211" s="2"/>
      <c r="AR211" s="3"/>
      <c r="AS211" s="280"/>
      <c r="AT211" s="280"/>
      <c r="AU211" s="2"/>
      <c r="AV211" s="2"/>
      <c r="AW211" s="2"/>
      <c r="AX211" s="2"/>
      <c r="AY211" s="280"/>
      <c r="AZ211" s="280"/>
      <c r="BA211" s="2"/>
      <c r="BB211" s="2"/>
      <c r="BC211" s="2"/>
      <c r="BD211" s="2"/>
      <c r="BE211" s="280"/>
      <c r="BF211" s="280"/>
      <c r="BG211" s="2"/>
      <c r="BH211" s="2"/>
      <c r="BI211" s="2"/>
      <c r="BJ211" s="2"/>
      <c r="BK211" s="280"/>
      <c r="BL211" s="280"/>
      <c r="BM211" s="2"/>
      <c r="BN211" s="2"/>
      <c r="BO211" s="2"/>
      <c r="BP211" s="2"/>
      <c r="BQ211" s="280"/>
      <c r="BR211" s="280"/>
      <c r="BS211" s="2"/>
      <c r="BT211" s="2"/>
      <c r="BU211" s="2"/>
      <c r="BV211" s="2"/>
      <c r="BW211" s="280"/>
      <c r="BX211" s="280"/>
      <c r="BY211" s="2"/>
      <c r="BZ211" s="2"/>
      <c r="CA211" s="2"/>
      <c r="CB211" s="2"/>
      <c r="CC211" s="280"/>
      <c r="CD211" s="280"/>
      <c r="CE211" s="2"/>
      <c r="CF211" s="2"/>
      <c r="CG211" s="2"/>
      <c r="CH211" s="2"/>
      <c r="CI211" s="280"/>
      <c r="CJ211" s="280"/>
      <c r="CK211" s="2"/>
      <c r="CL211" s="2"/>
      <c r="CM211" s="2"/>
      <c r="CN211" s="2"/>
      <c r="CO211" s="280"/>
      <c r="CP211" s="280"/>
      <c r="CQ211" s="2"/>
      <c r="CR211" s="2"/>
      <c r="CS211" s="2"/>
      <c r="CT211" s="2"/>
      <c r="CU211" s="280"/>
      <c r="CV211" s="280"/>
      <c r="CW211" s="2"/>
      <c r="CX211" s="2"/>
      <c r="CY211" s="2"/>
      <c r="CZ211" s="2"/>
      <c r="DA211" s="280"/>
      <c r="DB211" s="280"/>
      <c r="DC211" s="2"/>
      <c r="DD211" s="2"/>
      <c r="DE211" s="2"/>
      <c r="DF211" s="2"/>
      <c r="DG211" s="280"/>
      <c r="DH211" s="280"/>
      <c r="DI211" s="2"/>
      <c r="DJ211" s="2"/>
      <c r="DK211" s="2"/>
      <c r="DL211" s="2"/>
      <c r="DM211" s="280"/>
      <c r="DN211" s="280"/>
      <c r="DO211" s="2"/>
      <c r="DP211" s="2"/>
      <c r="DQ211" s="2"/>
      <c r="DR211" s="2"/>
    </row>
    <row r="212" spans="1:122" s="507" customFormat="1" ht="12.9" customHeight="1" x14ac:dyDescent="0.2">
      <c r="A212" s="496"/>
      <c r="B212" s="496"/>
      <c r="C212" s="198"/>
      <c r="D212" s="198"/>
      <c r="E212" s="9"/>
      <c r="F212" s="4"/>
      <c r="G212" s="4"/>
      <c r="H212" s="5"/>
      <c r="I212" s="198"/>
      <c r="J212" s="198"/>
      <c r="K212" s="9"/>
      <c r="L212" s="4"/>
      <c r="M212" s="4"/>
      <c r="N212" s="5"/>
      <c r="O212" s="198"/>
      <c r="P212" s="198"/>
      <c r="Q212" s="9"/>
      <c r="R212" s="4"/>
      <c r="S212" s="4"/>
      <c r="T212" s="5"/>
      <c r="U212" s="198"/>
      <c r="V212" s="198"/>
      <c r="W212" s="9"/>
      <c r="X212" s="4"/>
      <c r="Y212" s="4"/>
      <c r="Z212" s="5"/>
      <c r="AA212" s="198"/>
      <c r="AB212" s="198"/>
      <c r="AC212" s="9"/>
      <c r="AD212" s="4"/>
      <c r="AE212" s="4"/>
      <c r="AF212" s="5"/>
      <c r="AG212" s="198"/>
      <c r="AH212" s="198"/>
      <c r="AI212" s="9"/>
      <c r="AJ212" s="4"/>
      <c r="AK212" s="4"/>
      <c r="AL212" s="5"/>
      <c r="AM212" s="198"/>
      <c r="AN212" s="198"/>
      <c r="AO212" s="9"/>
      <c r="AP212" s="4"/>
      <c r="AQ212" s="4"/>
      <c r="AR212" s="5"/>
      <c r="AS212" s="280"/>
      <c r="AT212" s="280"/>
      <c r="AU212" s="2"/>
      <c r="AV212" s="2"/>
      <c r="AW212" s="2"/>
      <c r="AX212" s="2"/>
      <c r="AY212" s="280"/>
      <c r="AZ212" s="280"/>
      <c r="BA212" s="2"/>
      <c r="BB212" s="2"/>
      <c r="BC212" s="2"/>
      <c r="BD212" s="2"/>
      <c r="BE212" s="280"/>
      <c r="BF212" s="280"/>
      <c r="BG212" s="2"/>
      <c r="BH212" s="2"/>
      <c r="BI212" s="2"/>
      <c r="BJ212" s="2"/>
      <c r="BK212" s="280"/>
      <c r="BL212" s="280"/>
      <c r="BM212" s="2"/>
      <c r="BN212" s="2"/>
      <c r="BO212" s="2"/>
      <c r="BP212" s="2"/>
      <c r="BQ212" s="280"/>
      <c r="BR212" s="280"/>
      <c r="BS212" s="2"/>
      <c r="BT212" s="2"/>
      <c r="BU212" s="2"/>
      <c r="BV212" s="2"/>
      <c r="BW212" s="280"/>
      <c r="BX212" s="280"/>
      <c r="BY212" s="2"/>
      <c r="BZ212" s="2"/>
      <c r="CA212" s="2"/>
      <c r="CB212" s="2"/>
      <c r="CC212" s="280"/>
      <c r="CD212" s="280"/>
      <c r="CE212" s="2"/>
      <c r="CF212" s="2"/>
      <c r="CG212" s="2"/>
      <c r="CH212" s="2"/>
      <c r="CI212" s="280"/>
      <c r="CJ212" s="280"/>
      <c r="CK212" s="2"/>
      <c r="CL212" s="2"/>
      <c r="CM212" s="2"/>
      <c r="CN212" s="2"/>
      <c r="CO212" s="280"/>
      <c r="CP212" s="280"/>
      <c r="CQ212" s="2"/>
      <c r="CR212" s="2"/>
      <c r="CS212" s="2"/>
      <c r="CT212" s="2"/>
      <c r="CU212" s="280"/>
      <c r="CV212" s="280"/>
      <c r="CW212" s="2"/>
      <c r="CX212" s="2"/>
      <c r="CY212" s="2"/>
      <c r="CZ212" s="2"/>
      <c r="DA212" s="280"/>
      <c r="DB212" s="280"/>
      <c r="DC212" s="2"/>
      <c r="DD212" s="2"/>
      <c r="DE212" s="2"/>
      <c r="DF212" s="2"/>
      <c r="DG212" s="280"/>
      <c r="DH212" s="280"/>
      <c r="DI212" s="2"/>
      <c r="DJ212" s="2"/>
      <c r="DK212" s="2"/>
      <c r="DL212" s="2"/>
      <c r="DM212" s="280"/>
      <c r="DN212" s="280"/>
      <c r="DO212" s="2"/>
      <c r="DP212" s="2"/>
      <c r="DQ212" s="2"/>
      <c r="DR212" s="2"/>
    </row>
    <row r="228" spans="9:118" ht="12.9" customHeight="1" x14ac:dyDescent="0.2">
      <c r="I228" s="280"/>
      <c r="J228" s="280"/>
      <c r="K228" s="2"/>
      <c r="L228" s="2"/>
      <c r="M228" s="2"/>
      <c r="N228" s="2"/>
      <c r="O228" s="280"/>
      <c r="P228" s="280"/>
      <c r="Q228" s="507"/>
      <c r="R228" s="507"/>
      <c r="S228" s="507"/>
      <c r="T228" s="507"/>
      <c r="U228" s="495"/>
      <c r="V228" s="495"/>
      <c r="W228" s="495"/>
      <c r="X228" s="495"/>
      <c r="Y228" s="495"/>
      <c r="Z228" s="495"/>
      <c r="AA228" s="495"/>
      <c r="AB228" s="495"/>
      <c r="AC228" s="495"/>
      <c r="AD228" s="495"/>
      <c r="AE228" s="495"/>
      <c r="AF228" s="495"/>
      <c r="AG228" s="495"/>
      <c r="AH228" s="495"/>
      <c r="AM228" s="495"/>
      <c r="AN228" s="495"/>
      <c r="AO228" s="495"/>
      <c r="AP228" s="495"/>
      <c r="AQ228" s="495"/>
      <c r="AR228" s="495"/>
      <c r="AS228" s="495"/>
      <c r="AT228" s="495"/>
      <c r="AU228" s="495"/>
      <c r="AV228" s="495"/>
      <c r="AW228" s="495"/>
      <c r="AX228" s="495"/>
      <c r="AY228" s="495"/>
      <c r="AZ228" s="495"/>
      <c r="BE228" s="495"/>
      <c r="BF228" s="495"/>
      <c r="BG228" s="495"/>
      <c r="BH228" s="495"/>
      <c r="BI228" s="495"/>
      <c r="BJ228" s="495"/>
      <c r="BK228" s="495"/>
      <c r="BL228" s="495"/>
      <c r="BM228" s="495"/>
      <c r="BN228" s="495"/>
      <c r="BO228" s="495"/>
      <c r="BP228" s="495"/>
      <c r="BQ228" s="495"/>
      <c r="BR228" s="495"/>
      <c r="BW228" s="495"/>
      <c r="BX228" s="495"/>
      <c r="CC228" s="495"/>
      <c r="CD228" s="495"/>
      <c r="CE228" s="495"/>
      <c r="CF228" s="495"/>
      <c r="CG228" s="495"/>
      <c r="CH228" s="495"/>
      <c r="CI228" s="495"/>
      <c r="CJ228" s="495"/>
      <c r="CK228" s="495"/>
      <c r="CL228" s="495"/>
      <c r="CM228" s="495"/>
      <c r="CN228" s="495"/>
      <c r="CO228" s="495"/>
      <c r="CP228" s="495"/>
      <c r="CU228" s="495"/>
      <c r="CV228" s="495"/>
      <c r="DA228" s="495"/>
      <c r="DB228" s="495"/>
      <c r="DG228" s="495"/>
      <c r="DH228" s="495"/>
      <c r="DM228" s="495"/>
      <c r="DN228" s="495"/>
    </row>
  </sheetData>
  <mergeCells count="128">
    <mergeCell ref="C181:H181"/>
    <mergeCell ref="I181:N181"/>
    <mergeCell ref="O181:T181"/>
    <mergeCell ref="C151:H151"/>
    <mergeCell ref="I151:N151"/>
    <mergeCell ref="U181:Z181"/>
    <mergeCell ref="AA181:AF181"/>
    <mergeCell ref="AG181:AL181"/>
    <mergeCell ref="BE151:BJ151"/>
    <mergeCell ref="O151:T151"/>
    <mergeCell ref="A180:N180"/>
    <mergeCell ref="U151:Z151"/>
    <mergeCell ref="AA151:AF151"/>
    <mergeCell ref="AM181:AR181"/>
    <mergeCell ref="AM151:AR151"/>
    <mergeCell ref="AY151:BD151"/>
    <mergeCell ref="EE1:EJ1"/>
    <mergeCell ref="EK1:EP1"/>
    <mergeCell ref="CU75:CZ75"/>
    <mergeCell ref="DA75:DF75"/>
    <mergeCell ref="DG75:DL75"/>
    <mergeCell ref="CC96:CH96"/>
    <mergeCell ref="CI96:CN96"/>
    <mergeCell ref="CO96:CT96"/>
    <mergeCell ref="CU96:CZ96"/>
    <mergeCell ref="CC1:CH1"/>
    <mergeCell ref="DM151:DR151"/>
    <mergeCell ref="DG151:DL151"/>
    <mergeCell ref="DS1:DX1"/>
    <mergeCell ref="DY1:ED1"/>
    <mergeCell ref="DM96:DR96"/>
    <mergeCell ref="DM75:DR75"/>
    <mergeCell ref="AS151:AX151"/>
    <mergeCell ref="CC75:CH75"/>
    <mergeCell ref="CI75:CN75"/>
    <mergeCell ref="CC151:CH151"/>
    <mergeCell ref="CI151:CN151"/>
    <mergeCell ref="CO151:CT151"/>
    <mergeCell ref="BW151:CB151"/>
    <mergeCell ref="DA1:DF1"/>
    <mergeCell ref="CU1:CZ1"/>
    <mergeCell ref="II151:IN151"/>
    <mergeCell ref="IO151:IT151"/>
    <mergeCell ref="HK151:HP151"/>
    <mergeCell ref="HQ151:HV151"/>
    <mergeCell ref="DA151:DF151"/>
    <mergeCell ref="CU151:CZ151"/>
    <mergeCell ref="EE151:EJ151"/>
    <mergeCell ref="EK151:EP151"/>
    <mergeCell ref="IC151:IH151"/>
    <mergeCell ref="HW151:IB151"/>
    <mergeCell ref="EW151:FB151"/>
    <mergeCell ref="FC151:FH151"/>
    <mergeCell ref="GA151:GF151"/>
    <mergeCell ref="FI151:FN151"/>
    <mergeCell ref="HE151:HJ151"/>
    <mergeCell ref="GG151:GL151"/>
    <mergeCell ref="GM151:GR151"/>
    <mergeCell ref="GS151:GX151"/>
    <mergeCell ref="GY151:HD151"/>
    <mergeCell ref="DS151:DX151"/>
    <mergeCell ref="DY151:ED151"/>
    <mergeCell ref="FO151:FT151"/>
    <mergeCell ref="FU151:FZ151"/>
    <mergeCell ref="EQ151:EV151"/>
    <mergeCell ref="C118:H118"/>
    <mergeCell ref="DM1:DR1"/>
    <mergeCell ref="AG96:AL96"/>
    <mergeCell ref="AM96:AR96"/>
    <mergeCell ref="AS96:AX96"/>
    <mergeCell ref="DG1:DL1"/>
    <mergeCell ref="AS1:AX1"/>
    <mergeCell ref="CI1:CN1"/>
    <mergeCell ref="CO1:CT1"/>
    <mergeCell ref="AM1:AR1"/>
    <mergeCell ref="BE1:BJ1"/>
    <mergeCell ref="BK1:BP1"/>
    <mergeCell ref="BQ1:BV1"/>
    <mergeCell ref="AY96:BD96"/>
    <mergeCell ref="BE96:BJ96"/>
    <mergeCell ref="BK96:BP96"/>
    <mergeCell ref="BQ96:BV96"/>
    <mergeCell ref="BW96:CB96"/>
    <mergeCell ref="DA96:DF96"/>
    <mergeCell ref="DG96:DL96"/>
    <mergeCell ref="AM75:AR75"/>
    <mergeCell ref="AS75:AX75"/>
    <mergeCell ref="AY75:BD75"/>
    <mergeCell ref="CO75:CT75"/>
    <mergeCell ref="I75:N75"/>
    <mergeCell ref="O75:T75"/>
    <mergeCell ref="U75:Z75"/>
    <mergeCell ref="AA75:AF75"/>
    <mergeCell ref="AY1:BD1"/>
    <mergeCell ref="AG151:AL151"/>
    <mergeCell ref="BK151:BP151"/>
    <mergeCell ref="AG1:AL1"/>
    <mergeCell ref="BW1:CB1"/>
    <mergeCell ref="BE75:BJ75"/>
    <mergeCell ref="BK75:BP75"/>
    <mergeCell ref="BQ75:BV75"/>
    <mergeCell ref="BW75:CB75"/>
    <mergeCell ref="AG75:AL75"/>
    <mergeCell ref="BQ151:BV151"/>
    <mergeCell ref="A117:H117"/>
    <mergeCell ref="GM1:GR1"/>
    <mergeCell ref="GS1:GX1"/>
    <mergeCell ref="GG1:GL1"/>
    <mergeCell ref="EQ1:EV1"/>
    <mergeCell ref="EW1:FB1"/>
    <mergeCell ref="FC1:FH1"/>
    <mergeCell ref="FI1:FN1"/>
    <mergeCell ref="HE1:HJ1"/>
    <mergeCell ref="FO1:FT1"/>
    <mergeCell ref="FU1:FZ1"/>
    <mergeCell ref="GA1:GF1"/>
    <mergeCell ref="GY1:HD1"/>
    <mergeCell ref="C1:H1"/>
    <mergeCell ref="I1:N1"/>
    <mergeCell ref="O1:T1"/>
    <mergeCell ref="U1:Z1"/>
    <mergeCell ref="AA1:AF1"/>
    <mergeCell ref="C96:H96"/>
    <mergeCell ref="I96:N96"/>
    <mergeCell ref="O96:T96"/>
    <mergeCell ref="U96:Z96"/>
    <mergeCell ref="AA96:AF96"/>
    <mergeCell ref="C75:H75"/>
  </mergeCells>
  <phoneticPr fontId="0" type="noConversion"/>
  <pageMargins left="0" right="0" top="0.39370078740157483" bottom="0" header="0.15748031496062992" footer="0"/>
  <pageSetup paperSize="9" scale="63" fitToHeight="2" orientation="landscape" cellComments="asDisplayed" r:id="rId1"/>
  <headerFooter alignWithMargins="0">
    <oddHeader>&amp;L&amp;"Arial Black,Bold"&amp;14BABS Quartet Placings over the years&amp;R&amp;"Arial Black,Regular"&amp;8Updated on :-  &amp;D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zoomScale="130" zoomScaleNormal="130" workbookViewId="0">
      <pane ySplit="1" topLeftCell="A2" activePane="bottomLeft" state="frozen"/>
      <selection pane="bottomLeft" activeCell="H5" sqref="H5"/>
    </sheetView>
  </sheetViews>
  <sheetFormatPr defaultColWidth="9" defaultRowHeight="13.8" x14ac:dyDescent="0.2"/>
  <cols>
    <col min="1" max="1" width="5.44140625" style="657" customWidth="1"/>
    <col min="2" max="2" width="21.88671875" style="662" customWidth="1"/>
    <col min="3" max="3" width="14.33203125" style="662" customWidth="1"/>
    <col min="4" max="7" width="11.33203125" style="662" customWidth="1"/>
    <col min="8" max="8" width="51" style="429" customWidth="1"/>
    <col min="9" max="16384" width="9" style="429"/>
  </cols>
  <sheetData>
    <row r="1" spans="1:9" s="658" customFormat="1" x14ac:dyDescent="0.2">
      <c r="A1" s="657" t="s">
        <v>2539</v>
      </c>
      <c r="B1" s="659" t="s">
        <v>2629</v>
      </c>
      <c r="C1" s="660" t="s">
        <v>3376</v>
      </c>
      <c r="D1" s="659" t="s">
        <v>2017</v>
      </c>
      <c r="E1" s="659" t="s">
        <v>2018</v>
      </c>
      <c r="F1" s="659" t="s">
        <v>2019</v>
      </c>
      <c r="G1" s="661" t="s">
        <v>406</v>
      </c>
    </row>
    <row r="2" spans="1:9" x14ac:dyDescent="0.2">
      <c r="A2" s="657">
        <v>1975</v>
      </c>
      <c r="B2" s="662" t="s">
        <v>3144</v>
      </c>
      <c r="C2" s="663" t="s">
        <v>517</v>
      </c>
      <c r="G2" s="664"/>
      <c r="H2" s="429" t="s">
        <v>4616</v>
      </c>
      <c r="I2" s="429" t="s">
        <v>333</v>
      </c>
    </row>
    <row r="3" spans="1:9" x14ac:dyDescent="0.2">
      <c r="A3" s="657">
        <v>1975</v>
      </c>
      <c r="B3" s="662" t="s">
        <v>3143</v>
      </c>
      <c r="C3" s="665"/>
      <c r="G3" s="664"/>
      <c r="H3" s="666"/>
      <c r="I3" s="429" t="s">
        <v>333</v>
      </c>
    </row>
    <row r="4" spans="1:9" x14ac:dyDescent="0.2">
      <c r="A4" s="657">
        <v>1976</v>
      </c>
      <c r="B4" s="662" t="s">
        <v>3619</v>
      </c>
      <c r="C4" s="663" t="s">
        <v>2272</v>
      </c>
      <c r="D4" s="662" t="s">
        <v>4185</v>
      </c>
      <c r="E4" s="662" t="s">
        <v>4317</v>
      </c>
      <c r="F4" s="662" t="s">
        <v>4318</v>
      </c>
      <c r="G4" s="664"/>
      <c r="H4" s="429" t="s">
        <v>4893</v>
      </c>
      <c r="I4" s="429" t="s">
        <v>333</v>
      </c>
    </row>
    <row r="5" spans="1:9" x14ac:dyDescent="0.2">
      <c r="A5" s="657">
        <v>1976</v>
      </c>
      <c r="B5" s="662" t="s">
        <v>3620</v>
      </c>
      <c r="C5" s="665" t="s">
        <v>849</v>
      </c>
      <c r="G5" s="664"/>
    </row>
    <row r="6" spans="1:9" x14ac:dyDescent="0.2">
      <c r="A6" s="657">
        <v>1982</v>
      </c>
      <c r="B6" s="662" t="s">
        <v>397</v>
      </c>
      <c r="C6" s="663"/>
      <c r="G6" s="664"/>
      <c r="I6" s="429" t="s">
        <v>333</v>
      </c>
    </row>
    <row r="7" spans="1:9" x14ac:dyDescent="0.2">
      <c r="A7" s="657">
        <v>1993</v>
      </c>
      <c r="B7" s="667" t="s">
        <v>3183</v>
      </c>
      <c r="C7" s="665" t="s">
        <v>3477</v>
      </c>
      <c r="G7" s="664" t="s">
        <v>4020</v>
      </c>
      <c r="I7" s="429" t="s">
        <v>333</v>
      </c>
    </row>
    <row r="8" spans="1:9" x14ac:dyDescent="0.2">
      <c r="A8" s="657">
        <v>2007</v>
      </c>
      <c r="B8" s="662" t="s">
        <v>1570</v>
      </c>
      <c r="C8" s="665"/>
      <c r="D8" s="662" t="s">
        <v>1073</v>
      </c>
      <c r="E8" s="662" t="s">
        <v>1074</v>
      </c>
      <c r="F8" s="662" t="s">
        <v>1075</v>
      </c>
      <c r="G8" s="664" t="s">
        <v>1076</v>
      </c>
      <c r="I8" s="429" t="s">
        <v>333</v>
      </c>
    </row>
    <row r="9" spans="1:9" x14ac:dyDescent="0.2">
      <c r="A9" s="657">
        <v>2009</v>
      </c>
      <c r="B9" s="662" t="s">
        <v>1601</v>
      </c>
      <c r="C9" s="665" t="s">
        <v>1169</v>
      </c>
      <c r="D9" s="662" t="s">
        <v>1079</v>
      </c>
      <c r="E9" s="662" t="s">
        <v>1077</v>
      </c>
      <c r="F9" s="662" t="s">
        <v>1078</v>
      </c>
      <c r="G9" s="664" t="s">
        <v>1080</v>
      </c>
      <c r="H9" s="429" t="s">
        <v>4316</v>
      </c>
      <c r="I9" s="429" t="s">
        <v>333</v>
      </c>
    </row>
  </sheetData>
  <phoneticPr fontId="33" type="noConversion"/>
  <printOptions horizontalCentered="1" gridLines="1"/>
  <pageMargins left="0" right="0" top="1.3779527559055118" bottom="0" header="0" footer="0"/>
  <pageSetup scale="170" fitToHeight="2" orientation="landscape" r:id="rId1"/>
  <headerFooter alignWithMargins="0">
    <oddHeader>&amp;C&amp;"Courier,Bold"&amp;14Missing Information on Past Competing Quartets - &amp;16&amp;UCAN YOU FILL IN THE BLANKS?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O120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109" sqref="G109"/>
    </sheetView>
  </sheetViews>
  <sheetFormatPr defaultColWidth="9" defaultRowHeight="12.9" customHeight="1" x14ac:dyDescent="0.2"/>
  <cols>
    <col min="1" max="1" width="4.109375" style="19" customWidth="1"/>
    <col min="2" max="2" width="2.33203125" style="19" customWidth="1"/>
    <col min="3" max="3" width="14" style="19" customWidth="1"/>
    <col min="4" max="4" width="11.33203125" style="19" customWidth="1"/>
    <col min="5" max="5" width="10.109375" style="19" customWidth="1"/>
    <col min="6" max="6" width="10.21875" style="19" customWidth="1"/>
    <col min="7" max="7" width="10.88671875" style="19" customWidth="1"/>
    <col min="8" max="8" width="10.21875" style="19" customWidth="1"/>
    <col min="9" max="9" width="12" style="19" customWidth="1"/>
    <col min="10" max="10" width="11.6640625" style="19" customWidth="1"/>
    <col min="11" max="12" width="10.33203125" style="19" customWidth="1"/>
    <col min="13" max="14" width="9.88671875" style="19" customWidth="1"/>
    <col min="15" max="15" width="13" style="19" customWidth="1"/>
    <col min="16" max="16" width="12.77734375" style="19" customWidth="1"/>
    <col min="17" max="17" width="11.21875" style="13" customWidth="1"/>
    <col min="18" max="20" width="9.88671875" style="13" customWidth="1"/>
    <col min="21" max="21" width="9" style="13"/>
    <col min="22" max="41" width="8.88671875" customWidth="1"/>
    <col min="42" max="16384" width="9" style="13"/>
  </cols>
  <sheetData>
    <row r="1" spans="1:20" ht="15.6" x14ac:dyDescent="0.3">
      <c r="A1" s="678" t="s">
        <v>3926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</row>
    <row r="2" spans="1:20" ht="12.9" customHeight="1" x14ac:dyDescent="0.2">
      <c r="A2" s="11" t="s">
        <v>2012</v>
      </c>
      <c r="B2" s="12"/>
      <c r="C2" s="679" t="s">
        <v>4290</v>
      </c>
      <c r="D2" s="680"/>
      <c r="E2" s="680"/>
      <c r="F2" s="680"/>
      <c r="G2" s="680"/>
      <c r="H2" s="681"/>
      <c r="I2" s="679" t="s">
        <v>4291</v>
      </c>
      <c r="J2" s="680"/>
      <c r="K2" s="680"/>
      <c r="L2" s="680"/>
      <c r="M2" s="680"/>
      <c r="N2" s="681"/>
      <c r="O2" s="679" t="s">
        <v>4292</v>
      </c>
      <c r="P2" s="680"/>
      <c r="Q2" s="680"/>
      <c r="R2" s="680"/>
      <c r="S2" s="680"/>
      <c r="T2" s="681"/>
    </row>
    <row r="3" spans="1:20" ht="12.9" customHeight="1" x14ac:dyDescent="0.2">
      <c r="A3" s="14"/>
      <c r="B3" s="15"/>
      <c r="C3" s="15" t="s">
        <v>2016</v>
      </c>
      <c r="D3" s="16" t="s">
        <v>3376</v>
      </c>
      <c r="E3" s="16" t="s">
        <v>2017</v>
      </c>
      <c r="F3" s="16" t="s">
        <v>2018</v>
      </c>
      <c r="G3" s="16" t="s">
        <v>2019</v>
      </c>
      <c r="H3" s="17" t="s">
        <v>2020</v>
      </c>
      <c r="I3" s="15" t="s">
        <v>2016</v>
      </c>
      <c r="J3" s="16" t="s">
        <v>3376</v>
      </c>
      <c r="K3" s="16" t="s">
        <v>2017</v>
      </c>
      <c r="L3" s="16" t="s">
        <v>2018</v>
      </c>
      <c r="M3" s="16" t="s">
        <v>2019</v>
      </c>
      <c r="N3" s="17" t="s">
        <v>2020</v>
      </c>
      <c r="O3" s="15" t="s">
        <v>2016</v>
      </c>
      <c r="P3" s="16" t="s">
        <v>3376</v>
      </c>
      <c r="Q3" s="16" t="s">
        <v>2017</v>
      </c>
      <c r="R3" s="16" t="s">
        <v>2018</v>
      </c>
      <c r="S3" s="16" t="s">
        <v>2019</v>
      </c>
      <c r="T3" s="17" t="s">
        <v>2020</v>
      </c>
    </row>
    <row r="4" spans="1:20" ht="12.9" customHeight="1" x14ac:dyDescent="0.2">
      <c r="A4" s="18" t="s">
        <v>2021</v>
      </c>
      <c r="B4" s="18">
        <v>14</v>
      </c>
      <c r="C4" s="24"/>
      <c r="D4" s="24"/>
      <c r="E4" s="234"/>
      <c r="F4" s="234"/>
      <c r="G4" s="234"/>
      <c r="H4" s="235"/>
      <c r="I4" s="236"/>
      <c r="J4" s="237"/>
      <c r="O4" s="236"/>
      <c r="P4" s="238"/>
      <c r="Q4" s="20"/>
      <c r="R4" s="20"/>
      <c r="S4" s="20"/>
      <c r="T4" s="21"/>
    </row>
    <row r="5" spans="1:20" ht="12.9" customHeight="1" x14ac:dyDescent="0.2">
      <c r="A5" s="18" t="s">
        <v>2039</v>
      </c>
      <c r="B5" s="18">
        <v>22</v>
      </c>
      <c r="C5" s="239" t="s">
        <v>3223</v>
      </c>
      <c r="D5" s="237"/>
      <c r="I5" s="236"/>
      <c r="J5" s="237"/>
      <c r="N5" s="21"/>
      <c r="O5" s="236"/>
      <c r="P5" s="237"/>
      <c r="Q5" s="20"/>
      <c r="R5" s="20"/>
      <c r="S5" s="20"/>
      <c r="T5" s="21"/>
    </row>
    <row r="6" spans="1:20" ht="12.9" customHeight="1" x14ac:dyDescent="0.2">
      <c r="A6" s="18" t="s">
        <v>584</v>
      </c>
      <c r="B6" s="18">
        <v>30</v>
      </c>
      <c r="C6" s="239" t="s">
        <v>3223</v>
      </c>
      <c r="D6" s="237"/>
      <c r="E6" s="20"/>
      <c r="F6" s="20"/>
      <c r="G6" s="20"/>
      <c r="H6" s="21"/>
      <c r="I6" s="236"/>
      <c r="J6" s="237"/>
      <c r="K6" s="20"/>
      <c r="L6" s="20"/>
      <c r="M6" s="20"/>
      <c r="N6" s="20"/>
      <c r="O6" s="236"/>
      <c r="P6" s="237"/>
      <c r="Q6" s="19"/>
      <c r="R6" s="19"/>
      <c r="S6" s="19"/>
      <c r="T6" s="21"/>
    </row>
    <row r="7" spans="1:20" ht="12.9" customHeight="1" x14ac:dyDescent="0.2">
      <c r="A7" s="18" t="s">
        <v>596</v>
      </c>
      <c r="B7" s="18">
        <v>28</v>
      </c>
      <c r="C7" s="239" t="s">
        <v>3223</v>
      </c>
      <c r="D7" s="237"/>
      <c r="I7" s="236"/>
      <c r="J7" s="237"/>
      <c r="K7" s="20"/>
      <c r="L7" s="20"/>
      <c r="M7" s="20"/>
      <c r="N7" s="21"/>
      <c r="O7" s="240"/>
      <c r="P7" s="237"/>
      <c r="Q7" s="20"/>
      <c r="R7" s="20"/>
      <c r="S7" s="20"/>
      <c r="T7" s="21"/>
    </row>
    <row r="8" spans="1:20" ht="12.9" customHeight="1" x14ac:dyDescent="0.2">
      <c r="A8" s="18" t="s">
        <v>3203</v>
      </c>
      <c r="B8" s="18">
        <v>16</v>
      </c>
      <c r="C8" s="237" t="s">
        <v>3529</v>
      </c>
      <c r="D8" s="237" t="s">
        <v>2041</v>
      </c>
      <c r="E8" s="20" t="s">
        <v>3535</v>
      </c>
      <c r="F8" s="20" t="s">
        <v>3536</v>
      </c>
      <c r="G8" s="20" t="s">
        <v>3537</v>
      </c>
      <c r="H8" s="21" t="s">
        <v>3538</v>
      </c>
      <c r="I8" s="239" t="s">
        <v>3224</v>
      </c>
      <c r="J8" s="237"/>
      <c r="K8" s="239" t="s">
        <v>3223</v>
      </c>
      <c r="L8" s="20"/>
      <c r="M8" s="20"/>
      <c r="N8" s="20"/>
      <c r="O8" s="236"/>
      <c r="P8" s="241"/>
      <c r="Q8" s="234"/>
      <c r="R8" s="242"/>
      <c r="S8" s="234"/>
      <c r="T8" s="235"/>
    </row>
    <row r="9" spans="1:20" ht="12.9" customHeight="1" x14ac:dyDescent="0.2">
      <c r="A9" s="22" t="s">
        <v>3213</v>
      </c>
      <c r="B9" s="22"/>
      <c r="C9" s="243" t="s">
        <v>3214</v>
      </c>
      <c r="D9" s="237"/>
      <c r="E9" s="20"/>
      <c r="F9" s="20"/>
      <c r="G9" s="20"/>
      <c r="H9" s="21"/>
      <c r="I9" s="237"/>
      <c r="J9" s="237"/>
      <c r="K9" s="20"/>
      <c r="L9" s="20"/>
      <c r="M9" s="20"/>
      <c r="N9" s="21"/>
      <c r="O9" s="237"/>
      <c r="P9" s="237"/>
      <c r="Q9" s="20"/>
      <c r="R9" s="20"/>
      <c r="S9" s="20"/>
      <c r="T9" s="21"/>
    </row>
    <row r="10" spans="1:20" ht="12.9" customHeight="1" x14ac:dyDescent="0.2">
      <c r="A10" s="22">
        <v>1979</v>
      </c>
      <c r="B10" s="22"/>
      <c r="C10" s="243" t="s">
        <v>3216</v>
      </c>
      <c r="D10" s="241"/>
      <c r="E10" s="234"/>
      <c r="F10" s="234"/>
      <c r="G10" s="234"/>
      <c r="H10" s="234"/>
      <c r="I10" s="236"/>
      <c r="J10" s="237"/>
      <c r="K10" s="20"/>
      <c r="L10" s="20"/>
      <c r="M10" s="20"/>
      <c r="N10" s="20"/>
      <c r="O10" s="236"/>
      <c r="P10" s="237"/>
      <c r="Q10" s="20"/>
      <c r="R10" s="20"/>
      <c r="S10" s="20"/>
      <c r="T10" s="21"/>
    </row>
    <row r="11" spans="1:20" ht="12.9" customHeight="1" x14ac:dyDescent="0.2">
      <c r="A11" s="18" t="s">
        <v>4066</v>
      </c>
      <c r="B11" s="25">
        <v>24</v>
      </c>
      <c r="C11" s="407" t="s">
        <v>3225</v>
      </c>
      <c r="D11" s="237"/>
      <c r="E11" s="20" t="s">
        <v>3215</v>
      </c>
      <c r="F11" s="20" t="s">
        <v>3215</v>
      </c>
      <c r="G11" s="20" t="s">
        <v>3215</v>
      </c>
      <c r="H11" s="20" t="s">
        <v>3215</v>
      </c>
      <c r="I11" s="237" t="s">
        <v>3226</v>
      </c>
      <c r="J11" s="237" t="s">
        <v>4230</v>
      </c>
      <c r="K11" s="20" t="s">
        <v>556</v>
      </c>
      <c r="L11" s="20" t="s">
        <v>3918</v>
      </c>
      <c r="M11" s="20" t="s">
        <v>558</v>
      </c>
      <c r="N11" s="21" t="s">
        <v>559</v>
      </c>
      <c r="O11" s="236"/>
      <c r="P11" s="237"/>
      <c r="Q11" s="20"/>
      <c r="R11" s="20"/>
      <c r="S11" s="20"/>
      <c r="T11" s="21"/>
    </row>
    <row r="12" spans="1:20" ht="12.9" customHeight="1" x14ac:dyDescent="0.2">
      <c r="A12" s="18" t="s">
        <v>4240</v>
      </c>
      <c r="B12" s="25">
        <v>31</v>
      </c>
      <c r="C12" s="203" t="s">
        <v>3681</v>
      </c>
      <c r="D12" s="201" t="s">
        <v>130</v>
      </c>
      <c r="E12" s="20" t="s">
        <v>2739</v>
      </c>
      <c r="F12" s="20" t="s">
        <v>4258</v>
      </c>
      <c r="G12" s="20" t="s">
        <v>701</v>
      </c>
      <c r="H12" s="20" t="s">
        <v>4259</v>
      </c>
      <c r="I12" s="236" t="s">
        <v>1444</v>
      </c>
      <c r="J12" s="237" t="s">
        <v>1445</v>
      </c>
      <c r="K12" s="20" t="s">
        <v>3215</v>
      </c>
      <c r="L12" s="20" t="s">
        <v>3215</v>
      </c>
      <c r="M12" s="20" t="s">
        <v>3215</v>
      </c>
      <c r="N12" s="20" t="s">
        <v>3215</v>
      </c>
      <c r="O12" s="236" t="s">
        <v>1527</v>
      </c>
      <c r="P12" s="201" t="s">
        <v>2041</v>
      </c>
      <c r="Q12" s="20" t="s">
        <v>1529</v>
      </c>
      <c r="R12" s="20" t="s">
        <v>2456</v>
      </c>
      <c r="S12" s="20" t="s">
        <v>3543</v>
      </c>
      <c r="T12" s="21" t="s">
        <v>2457</v>
      </c>
    </row>
    <row r="13" spans="1:20" ht="12.9" customHeight="1" x14ac:dyDescent="0.2">
      <c r="A13" s="18" t="s">
        <v>4254</v>
      </c>
      <c r="B13" s="25">
        <v>23</v>
      </c>
      <c r="C13" s="240" t="s">
        <v>4184</v>
      </c>
      <c r="D13" s="237" t="s">
        <v>4177</v>
      </c>
      <c r="E13" s="19" t="s">
        <v>4178</v>
      </c>
      <c r="F13" s="19" t="s">
        <v>4031</v>
      </c>
      <c r="G13" s="19" t="s">
        <v>4032</v>
      </c>
      <c r="H13" s="19" t="s">
        <v>2786</v>
      </c>
      <c r="I13" s="237" t="s">
        <v>3222</v>
      </c>
      <c r="J13" s="237" t="s">
        <v>849</v>
      </c>
      <c r="K13" s="19" t="s">
        <v>850</v>
      </c>
      <c r="L13" s="19" t="s">
        <v>851</v>
      </c>
      <c r="M13" s="19" t="s">
        <v>852</v>
      </c>
      <c r="N13" s="19" t="s">
        <v>690</v>
      </c>
      <c r="O13" s="236"/>
      <c r="P13" s="237"/>
      <c r="Q13" s="20"/>
      <c r="R13" s="20"/>
      <c r="S13" s="20"/>
      <c r="T13" s="21"/>
    </row>
    <row r="14" spans="1:20" ht="12.9" customHeight="1" x14ac:dyDescent="0.2">
      <c r="A14" s="18" t="s">
        <v>4153</v>
      </c>
      <c r="B14" s="18">
        <v>25</v>
      </c>
      <c r="C14" s="237" t="s">
        <v>3227</v>
      </c>
      <c r="D14" s="237" t="s">
        <v>2272</v>
      </c>
      <c r="E14" s="20" t="s">
        <v>3387</v>
      </c>
      <c r="F14" s="20" t="s">
        <v>3395</v>
      </c>
      <c r="G14" s="20" t="s">
        <v>3396</v>
      </c>
      <c r="H14" s="21" t="s">
        <v>297</v>
      </c>
      <c r="I14" s="237" t="s">
        <v>3228</v>
      </c>
      <c r="J14" s="237" t="s">
        <v>4249</v>
      </c>
      <c r="K14" s="19" t="s">
        <v>1518</v>
      </c>
      <c r="L14" s="19" t="s">
        <v>3685</v>
      </c>
      <c r="M14" s="19" t="s">
        <v>1519</v>
      </c>
      <c r="N14" s="19" t="s">
        <v>1520</v>
      </c>
      <c r="O14" s="236"/>
      <c r="P14" s="237"/>
      <c r="Q14" s="20"/>
      <c r="R14" s="20"/>
      <c r="S14" s="20"/>
      <c r="T14" s="21"/>
    </row>
    <row r="15" spans="1:20" ht="12.9" customHeight="1" x14ac:dyDescent="0.2">
      <c r="A15" s="18" t="s">
        <v>4167</v>
      </c>
      <c r="B15" s="18">
        <v>26</v>
      </c>
      <c r="C15" s="236" t="s">
        <v>3229</v>
      </c>
      <c r="D15" s="237" t="s">
        <v>421</v>
      </c>
      <c r="E15" s="20" t="s">
        <v>223</v>
      </c>
      <c r="F15" s="20" t="s">
        <v>224</v>
      </c>
      <c r="G15" s="20" t="s">
        <v>225</v>
      </c>
      <c r="H15" s="20" t="s">
        <v>446</v>
      </c>
      <c r="I15" s="237" t="s">
        <v>3230</v>
      </c>
      <c r="J15" s="237" t="s">
        <v>2029</v>
      </c>
      <c r="K15" s="19" t="s">
        <v>420</v>
      </c>
      <c r="L15" s="19" t="s">
        <v>657</v>
      </c>
      <c r="M15" s="19" t="s">
        <v>658</v>
      </c>
      <c r="N15" s="19" t="s">
        <v>659</v>
      </c>
      <c r="O15" s="237"/>
      <c r="P15" s="237"/>
      <c r="Q15" s="19"/>
      <c r="R15" s="19"/>
      <c r="S15" s="19"/>
      <c r="T15" s="21"/>
    </row>
    <row r="16" spans="1:20" ht="12.9" customHeight="1" x14ac:dyDescent="0.2">
      <c r="A16" s="18" t="s">
        <v>4034</v>
      </c>
      <c r="B16" s="18">
        <v>34</v>
      </c>
      <c r="C16" s="237" t="s">
        <v>3231</v>
      </c>
      <c r="D16" s="245" t="s">
        <v>3232</v>
      </c>
      <c r="E16" s="1" t="s">
        <v>3215</v>
      </c>
      <c r="F16" s="1" t="s">
        <v>3215</v>
      </c>
      <c r="G16" s="1" t="s">
        <v>3215</v>
      </c>
      <c r="H16" s="1" t="s">
        <v>3215</v>
      </c>
      <c r="I16" s="237" t="s">
        <v>1441</v>
      </c>
      <c r="J16" s="237" t="s">
        <v>517</v>
      </c>
      <c r="K16" s="19" t="s">
        <v>2793</v>
      </c>
      <c r="L16" s="19" t="s">
        <v>662</v>
      </c>
      <c r="M16" s="19" t="s">
        <v>2798</v>
      </c>
      <c r="N16" s="21" t="s">
        <v>586</v>
      </c>
      <c r="O16" s="237"/>
      <c r="P16" s="237"/>
      <c r="Q16" s="20"/>
      <c r="R16" s="20"/>
      <c r="S16" s="20"/>
      <c r="T16" s="21"/>
    </row>
    <row r="17" spans="1:34" ht="12.9" customHeight="1" x14ac:dyDescent="0.2">
      <c r="A17" s="18" t="s">
        <v>4046</v>
      </c>
      <c r="B17" s="18">
        <v>34</v>
      </c>
      <c r="C17" s="236" t="s">
        <v>3233</v>
      </c>
      <c r="D17" s="237" t="s">
        <v>517</v>
      </c>
      <c r="E17" s="19" t="s">
        <v>2793</v>
      </c>
      <c r="F17" s="19" t="s">
        <v>662</v>
      </c>
      <c r="G17" s="19" t="s">
        <v>2798</v>
      </c>
      <c r="H17" s="21" t="s">
        <v>586</v>
      </c>
      <c r="I17" s="237" t="s">
        <v>3234</v>
      </c>
      <c r="J17" s="237" t="s">
        <v>28</v>
      </c>
      <c r="K17" s="20" t="s">
        <v>802</v>
      </c>
      <c r="L17" s="20" t="s">
        <v>1851</v>
      </c>
      <c r="M17" s="20" t="s">
        <v>1852</v>
      </c>
      <c r="N17" s="21" t="s">
        <v>758</v>
      </c>
      <c r="O17" s="237"/>
      <c r="P17" s="237"/>
      <c r="Q17" s="19"/>
      <c r="T17" s="33"/>
    </row>
    <row r="18" spans="1:34" ht="12.9" customHeight="1" x14ac:dyDescent="0.2">
      <c r="A18" s="18" t="s">
        <v>4060</v>
      </c>
      <c r="B18" s="18">
        <v>33</v>
      </c>
      <c r="C18" s="237" t="s">
        <v>3235</v>
      </c>
      <c r="D18" s="237" t="s">
        <v>2468</v>
      </c>
      <c r="E18" s="20" t="s">
        <v>2469</v>
      </c>
      <c r="F18" s="20" t="s">
        <v>3565</v>
      </c>
      <c r="G18" s="20" t="s">
        <v>3236</v>
      </c>
      <c r="H18" s="20" t="s">
        <v>2472</v>
      </c>
      <c r="I18" s="237" t="s">
        <v>3237</v>
      </c>
      <c r="J18" s="237" t="s">
        <v>2804</v>
      </c>
      <c r="K18" s="20" t="s">
        <v>145</v>
      </c>
      <c r="L18" s="20" t="s">
        <v>290</v>
      </c>
      <c r="M18" s="20" t="s">
        <v>797</v>
      </c>
      <c r="N18" s="20" t="s">
        <v>2817</v>
      </c>
      <c r="O18" s="236" t="s">
        <v>3238</v>
      </c>
      <c r="P18" s="237" t="s">
        <v>799</v>
      </c>
      <c r="Q18" s="19" t="s">
        <v>800</v>
      </c>
      <c r="R18" s="19" t="s">
        <v>801</v>
      </c>
      <c r="S18" s="19" t="s">
        <v>2144</v>
      </c>
      <c r="T18" s="21" t="s">
        <v>557</v>
      </c>
    </row>
    <row r="19" spans="1:34" ht="12.9" customHeight="1" x14ac:dyDescent="0.2">
      <c r="A19" s="18" t="s">
        <v>32</v>
      </c>
      <c r="B19" s="18">
        <v>36</v>
      </c>
      <c r="C19" s="237" t="s">
        <v>3239</v>
      </c>
      <c r="D19" s="237" t="s">
        <v>49</v>
      </c>
      <c r="E19" s="20" t="s">
        <v>458</v>
      </c>
      <c r="F19" s="20" t="s">
        <v>2705</v>
      </c>
      <c r="G19" s="20" t="s">
        <v>2706</v>
      </c>
      <c r="H19" s="20" t="s">
        <v>4068</v>
      </c>
      <c r="I19" s="237" t="s">
        <v>3240</v>
      </c>
      <c r="J19" s="246" t="s">
        <v>2042</v>
      </c>
      <c r="K19" s="20" t="s">
        <v>3215</v>
      </c>
      <c r="L19" s="20" t="s">
        <v>3215</v>
      </c>
      <c r="M19" s="20" t="s">
        <v>3215</v>
      </c>
      <c r="N19" s="20" t="s">
        <v>3215</v>
      </c>
      <c r="O19" s="237" t="s">
        <v>2043</v>
      </c>
      <c r="P19" s="246" t="s">
        <v>2468</v>
      </c>
      <c r="Q19" s="19" t="s">
        <v>2469</v>
      </c>
      <c r="R19" s="19" t="s">
        <v>2470</v>
      </c>
      <c r="S19" s="19" t="s">
        <v>3236</v>
      </c>
      <c r="T19" s="21" t="s">
        <v>2472</v>
      </c>
      <c r="AC19" s="247"/>
      <c r="AD19" s="247"/>
      <c r="AE19" s="247"/>
      <c r="AF19" s="247"/>
      <c r="AG19" s="247"/>
      <c r="AH19" s="247"/>
    </row>
    <row r="20" spans="1:34" ht="12.9" customHeight="1" x14ac:dyDescent="0.2">
      <c r="A20" s="18" t="s">
        <v>46</v>
      </c>
      <c r="B20" s="18">
        <v>33</v>
      </c>
      <c r="C20" s="237" t="s">
        <v>1442</v>
      </c>
      <c r="D20" s="237" t="s">
        <v>130</v>
      </c>
      <c r="E20" s="19" t="s">
        <v>131</v>
      </c>
      <c r="F20" s="19" t="s">
        <v>132</v>
      </c>
      <c r="G20" s="19" t="s">
        <v>133</v>
      </c>
      <c r="H20" s="21" t="s">
        <v>252</v>
      </c>
      <c r="I20" s="237" t="s">
        <v>1443</v>
      </c>
      <c r="J20" s="246" t="s">
        <v>421</v>
      </c>
      <c r="K20" s="19" t="s">
        <v>422</v>
      </c>
      <c r="L20" s="19" t="s">
        <v>3549</v>
      </c>
      <c r="M20" s="1" t="s">
        <v>3289</v>
      </c>
      <c r="N20" s="3" t="s">
        <v>3550</v>
      </c>
      <c r="O20" s="237"/>
      <c r="P20" s="246"/>
      <c r="Q20" s="19"/>
      <c r="R20" s="19"/>
      <c r="S20" s="19"/>
      <c r="T20" s="21"/>
      <c r="AC20" s="247"/>
      <c r="AD20" s="247"/>
      <c r="AE20" s="247"/>
      <c r="AF20" s="247"/>
      <c r="AG20" s="247"/>
      <c r="AH20" s="247"/>
    </row>
    <row r="21" spans="1:34" ht="12.9" customHeight="1" x14ac:dyDescent="0.2">
      <c r="A21" s="18" t="s">
        <v>4073</v>
      </c>
      <c r="B21" s="18">
        <v>39</v>
      </c>
      <c r="C21" s="237" t="s">
        <v>2044</v>
      </c>
      <c r="D21" s="237" t="s">
        <v>4230</v>
      </c>
      <c r="E21" s="20" t="s">
        <v>254</v>
      </c>
      <c r="F21" s="19" t="s">
        <v>166</v>
      </c>
      <c r="G21" s="19" t="s">
        <v>255</v>
      </c>
      <c r="H21" s="21" t="s">
        <v>168</v>
      </c>
      <c r="I21" s="236" t="s">
        <v>2045</v>
      </c>
      <c r="J21" s="237" t="s">
        <v>3665</v>
      </c>
      <c r="K21" s="19" t="s">
        <v>2138</v>
      </c>
      <c r="L21" s="19" t="s">
        <v>3666</v>
      </c>
      <c r="M21" s="19" t="s">
        <v>3667</v>
      </c>
      <c r="N21" s="19" t="s">
        <v>3395</v>
      </c>
      <c r="O21" s="236"/>
      <c r="P21" s="237"/>
      <c r="Q21" s="19"/>
      <c r="R21" s="19"/>
      <c r="S21" s="1"/>
      <c r="T21" s="3"/>
      <c r="AC21" s="247"/>
      <c r="AD21" s="247"/>
      <c r="AE21" s="247"/>
      <c r="AF21" s="247"/>
      <c r="AG21" s="247"/>
      <c r="AH21" s="247"/>
    </row>
    <row r="22" spans="1:34" ht="12.9" customHeight="1" x14ac:dyDescent="0.2">
      <c r="A22" s="18" t="s">
        <v>4087</v>
      </c>
      <c r="B22" s="18">
        <v>28</v>
      </c>
      <c r="C22" s="237" t="s">
        <v>2046</v>
      </c>
      <c r="D22" s="237" t="s">
        <v>4079</v>
      </c>
      <c r="E22" s="19" t="s">
        <v>258</v>
      </c>
      <c r="F22" s="19" t="s">
        <v>4081</v>
      </c>
      <c r="G22" s="19" t="s">
        <v>260</v>
      </c>
      <c r="H22" s="19" t="s">
        <v>261</v>
      </c>
      <c r="I22" s="236" t="s">
        <v>2047</v>
      </c>
      <c r="J22" s="237" t="s">
        <v>4161</v>
      </c>
      <c r="K22" s="19" t="s">
        <v>3552</v>
      </c>
      <c r="L22" s="19" t="s">
        <v>3553</v>
      </c>
      <c r="M22" s="19" t="s">
        <v>3554</v>
      </c>
      <c r="N22" s="19" t="s">
        <v>3555</v>
      </c>
      <c r="O22" s="236"/>
      <c r="P22" s="237"/>
      <c r="Q22" s="19"/>
      <c r="R22" s="19"/>
      <c r="S22" s="19"/>
      <c r="T22" s="21"/>
    </row>
    <row r="23" spans="1:34" ht="12.9" customHeight="1" x14ac:dyDescent="0.2">
      <c r="A23" s="18" t="s">
        <v>135</v>
      </c>
      <c r="B23" s="18">
        <v>33</v>
      </c>
      <c r="C23" s="237" t="s">
        <v>2048</v>
      </c>
      <c r="D23" s="237" t="s">
        <v>4177</v>
      </c>
      <c r="E23" s="20" t="s">
        <v>868</v>
      </c>
      <c r="F23" s="20" t="s">
        <v>869</v>
      </c>
      <c r="G23" s="20" t="s">
        <v>870</v>
      </c>
      <c r="H23" s="21" t="s">
        <v>3669</v>
      </c>
      <c r="I23" s="236" t="s">
        <v>2047</v>
      </c>
      <c r="J23" s="237" t="s">
        <v>4161</v>
      </c>
      <c r="K23" s="19" t="s">
        <v>3552</v>
      </c>
      <c r="L23" s="19" t="s">
        <v>3553</v>
      </c>
      <c r="M23" s="19" t="s">
        <v>3554</v>
      </c>
      <c r="N23" s="19" t="s">
        <v>3555</v>
      </c>
      <c r="O23" s="236"/>
      <c r="P23" s="237"/>
      <c r="Q23" s="20"/>
      <c r="R23" s="20"/>
      <c r="S23" s="20"/>
      <c r="T23" s="21"/>
    </row>
    <row r="24" spans="1:34" ht="12.9" customHeight="1" x14ac:dyDescent="0.2">
      <c r="A24" s="18" t="s">
        <v>144</v>
      </c>
      <c r="B24" s="18">
        <v>27</v>
      </c>
      <c r="C24" s="237" t="s">
        <v>2049</v>
      </c>
      <c r="D24" s="237" t="s">
        <v>164</v>
      </c>
      <c r="E24" s="19" t="s">
        <v>165</v>
      </c>
      <c r="F24" s="19" t="s">
        <v>166</v>
      </c>
      <c r="G24" s="19" t="s">
        <v>167</v>
      </c>
      <c r="H24" s="19" t="s">
        <v>168</v>
      </c>
      <c r="I24" s="236" t="s">
        <v>2050</v>
      </c>
      <c r="J24" s="237" t="s">
        <v>4041</v>
      </c>
      <c r="K24" s="20" t="s">
        <v>4056</v>
      </c>
      <c r="L24" s="20" t="s">
        <v>3565</v>
      </c>
      <c r="M24" s="20" t="s">
        <v>3566</v>
      </c>
      <c r="N24" s="20" t="s">
        <v>4045</v>
      </c>
      <c r="O24" s="236"/>
      <c r="P24" s="237"/>
      <c r="Q24" s="242"/>
      <c r="R24" s="20"/>
      <c r="S24" s="20"/>
      <c r="T24" s="21"/>
    </row>
    <row r="25" spans="1:34" ht="12.9" customHeight="1" x14ac:dyDescent="0.2">
      <c r="A25" s="18" t="s">
        <v>155</v>
      </c>
      <c r="B25" s="18">
        <v>37</v>
      </c>
      <c r="C25" s="236" t="s">
        <v>2050</v>
      </c>
      <c r="D25" s="237" t="s">
        <v>4041</v>
      </c>
      <c r="E25" s="20" t="s">
        <v>4056</v>
      </c>
      <c r="F25" s="20" t="s">
        <v>3565</v>
      </c>
      <c r="G25" s="20" t="s">
        <v>3566</v>
      </c>
      <c r="H25" s="20" t="s">
        <v>4045</v>
      </c>
      <c r="I25" s="237" t="s">
        <v>2051</v>
      </c>
      <c r="J25" s="237" t="s">
        <v>2733</v>
      </c>
      <c r="K25" s="19" t="s">
        <v>3556</v>
      </c>
      <c r="L25" s="19" t="s">
        <v>3557</v>
      </c>
      <c r="M25" s="19" t="s">
        <v>3558</v>
      </c>
      <c r="N25" s="21" t="s">
        <v>3559</v>
      </c>
      <c r="O25" s="236"/>
      <c r="P25" s="237"/>
      <c r="Q25" s="19"/>
      <c r="R25" s="19"/>
      <c r="S25" s="19"/>
      <c r="T25" s="21"/>
    </row>
    <row r="26" spans="1:34" ht="12.9" customHeight="1" x14ac:dyDescent="0.2">
      <c r="A26" s="18" t="s">
        <v>169</v>
      </c>
      <c r="B26" s="18">
        <v>35</v>
      </c>
      <c r="C26" s="237" t="s">
        <v>2052</v>
      </c>
      <c r="D26" s="237" t="s">
        <v>3292</v>
      </c>
      <c r="E26" s="23" t="s">
        <v>449</v>
      </c>
      <c r="F26" s="20" t="s">
        <v>557</v>
      </c>
      <c r="G26" s="20" t="s">
        <v>2144</v>
      </c>
      <c r="H26" s="21" t="s">
        <v>2818</v>
      </c>
      <c r="I26" s="236" t="s">
        <v>2053</v>
      </c>
      <c r="J26" s="237" t="s">
        <v>4079</v>
      </c>
      <c r="K26" s="19" t="s">
        <v>4083</v>
      </c>
      <c r="L26" s="19" t="s">
        <v>424</v>
      </c>
      <c r="M26" s="19" t="s">
        <v>425</v>
      </c>
      <c r="N26" s="21" t="s">
        <v>258</v>
      </c>
      <c r="O26" s="236"/>
      <c r="P26" s="237"/>
      <c r="Q26" s="19"/>
      <c r="R26" s="19"/>
      <c r="S26" s="19"/>
      <c r="T26" s="21"/>
    </row>
    <row r="27" spans="1:34" ht="12.9" customHeight="1" x14ac:dyDescent="0.2">
      <c r="A27" s="18" t="s">
        <v>3278</v>
      </c>
      <c r="B27" s="18">
        <v>41</v>
      </c>
      <c r="C27" s="237" t="s">
        <v>2054</v>
      </c>
      <c r="D27" s="237" t="s">
        <v>3684</v>
      </c>
      <c r="E27" s="23" t="s">
        <v>3552</v>
      </c>
      <c r="F27" s="20" t="s">
        <v>3553</v>
      </c>
      <c r="G27" s="20" t="s">
        <v>426</v>
      </c>
      <c r="H27" s="21" t="s">
        <v>3555</v>
      </c>
      <c r="I27" s="236" t="s">
        <v>2055</v>
      </c>
      <c r="J27" s="237" t="s">
        <v>579</v>
      </c>
      <c r="K27" s="23" t="s">
        <v>822</v>
      </c>
      <c r="L27" s="20" t="s">
        <v>823</v>
      </c>
      <c r="M27" s="20" t="s">
        <v>427</v>
      </c>
      <c r="N27" s="21" t="s">
        <v>2796</v>
      </c>
      <c r="O27" s="236" t="s">
        <v>2056</v>
      </c>
      <c r="P27" s="237" t="s">
        <v>1310</v>
      </c>
      <c r="Q27" s="23" t="s">
        <v>428</v>
      </c>
      <c r="R27" s="20" t="s">
        <v>2474</v>
      </c>
      <c r="S27" s="20" t="s">
        <v>429</v>
      </c>
      <c r="T27" s="21" t="s">
        <v>1312</v>
      </c>
    </row>
    <row r="28" spans="1:34" ht="12.9" customHeight="1" x14ac:dyDescent="0.2">
      <c r="A28" s="18" t="s">
        <v>3285</v>
      </c>
      <c r="B28" s="18">
        <v>31</v>
      </c>
      <c r="C28" s="237" t="s">
        <v>2057</v>
      </c>
      <c r="D28" s="237" t="s">
        <v>2146</v>
      </c>
      <c r="E28" s="23" t="s">
        <v>812</v>
      </c>
      <c r="F28" s="20" t="s">
        <v>813</v>
      </c>
      <c r="G28" s="20" t="s">
        <v>814</v>
      </c>
      <c r="H28" s="21" t="s">
        <v>3534</v>
      </c>
      <c r="I28" s="236" t="s">
        <v>2058</v>
      </c>
      <c r="J28" s="237" t="s">
        <v>4041</v>
      </c>
      <c r="K28" s="23" t="s">
        <v>4056</v>
      </c>
      <c r="L28" s="20" t="s">
        <v>2136</v>
      </c>
      <c r="M28" s="20" t="s">
        <v>808</v>
      </c>
      <c r="N28" s="21" t="s">
        <v>4045</v>
      </c>
      <c r="O28" s="236"/>
      <c r="P28" s="237"/>
      <c r="Q28" s="20"/>
      <c r="R28" s="20"/>
      <c r="S28" s="20"/>
      <c r="T28" s="21"/>
    </row>
    <row r="29" spans="1:34" ht="12.9" customHeight="1" x14ac:dyDescent="0.2">
      <c r="A29" s="18" t="s">
        <v>1617</v>
      </c>
      <c r="B29" s="18">
        <v>30</v>
      </c>
      <c r="C29" s="237" t="s">
        <v>2059</v>
      </c>
      <c r="D29" s="237" t="s">
        <v>2361</v>
      </c>
      <c r="E29" s="20" t="s">
        <v>3687</v>
      </c>
      <c r="F29" s="20" t="s">
        <v>3688</v>
      </c>
      <c r="G29" s="20" t="s">
        <v>3689</v>
      </c>
      <c r="H29" s="21" t="s">
        <v>3690</v>
      </c>
      <c r="I29" s="236" t="s">
        <v>2060</v>
      </c>
      <c r="J29" s="237" t="s">
        <v>579</v>
      </c>
      <c r="K29" s="20" t="s">
        <v>2138</v>
      </c>
      <c r="L29" s="20" t="s">
        <v>2139</v>
      </c>
      <c r="M29" s="20" t="s">
        <v>2140</v>
      </c>
      <c r="N29" s="21" t="s">
        <v>2141</v>
      </c>
      <c r="O29" s="236"/>
      <c r="P29" s="237"/>
      <c r="Q29" s="19"/>
      <c r="R29" s="19"/>
      <c r="S29" s="19"/>
      <c r="T29" s="21"/>
    </row>
    <row r="30" spans="1:34" ht="12.9" customHeight="1" x14ac:dyDescent="0.2">
      <c r="A30" s="18" t="s">
        <v>1629</v>
      </c>
      <c r="B30" s="18">
        <v>38</v>
      </c>
      <c r="C30" s="237" t="s">
        <v>2061</v>
      </c>
      <c r="D30" s="237" t="s">
        <v>4041</v>
      </c>
      <c r="E30" s="19" t="s">
        <v>4056</v>
      </c>
      <c r="F30" s="19" t="s">
        <v>2136</v>
      </c>
      <c r="G30" s="19" t="s">
        <v>808</v>
      </c>
      <c r="H30" s="21" t="s">
        <v>4045</v>
      </c>
      <c r="I30" s="236" t="s">
        <v>2062</v>
      </c>
      <c r="J30" s="237" t="s">
        <v>1310</v>
      </c>
      <c r="K30" s="23" t="s">
        <v>1311</v>
      </c>
      <c r="L30" s="20" t="s">
        <v>1312</v>
      </c>
      <c r="M30" s="20" t="s">
        <v>816</v>
      </c>
      <c r="N30" s="21" t="s">
        <v>2746</v>
      </c>
      <c r="O30" s="239" t="s">
        <v>2063</v>
      </c>
      <c r="P30" s="237"/>
      <c r="Q30" s="23"/>
      <c r="R30" s="20"/>
      <c r="S30" s="20"/>
      <c r="T30" s="235"/>
      <c r="U30" s="240"/>
      <c r="V30" s="240"/>
      <c r="W30" s="20"/>
      <c r="X30" s="20"/>
      <c r="Y30" s="20"/>
      <c r="Z30" s="20"/>
      <c r="AA30" s="240"/>
      <c r="AB30" s="20"/>
      <c r="AC30" s="242"/>
      <c r="AD30" s="20"/>
      <c r="AE30" s="20"/>
      <c r="AF30" s="20"/>
    </row>
    <row r="31" spans="1:34" ht="12.9" customHeight="1" x14ac:dyDescent="0.2">
      <c r="A31" s="18" t="s">
        <v>1641</v>
      </c>
      <c r="B31" s="18">
        <v>28</v>
      </c>
      <c r="C31" s="237" t="s">
        <v>2064</v>
      </c>
      <c r="D31" s="237" t="s">
        <v>3580</v>
      </c>
      <c r="E31" s="23" t="s">
        <v>2138</v>
      </c>
      <c r="F31" s="20" t="s">
        <v>2139</v>
      </c>
      <c r="G31" s="20" t="s">
        <v>2140</v>
      </c>
      <c r="H31" s="21" t="s">
        <v>3581</v>
      </c>
      <c r="I31" s="236" t="s">
        <v>2065</v>
      </c>
      <c r="J31" s="237" t="s">
        <v>2078</v>
      </c>
      <c r="K31" s="23" t="s">
        <v>3215</v>
      </c>
      <c r="L31" s="20" t="s">
        <v>3215</v>
      </c>
      <c r="M31" s="20" t="s">
        <v>3215</v>
      </c>
      <c r="N31" s="235" t="s">
        <v>3215</v>
      </c>
      <c r="O31" s="236"/>
      <c r="P31" s="237"/>
      <c r="Q31" s="20"/>
      <c r="R31" s="20"/>
      <c r="S31" s="20"/>
      <c r="T31" s="21"/>
    </row>
    <row r="32" spans="1:34" ht="12.9" customHeight="1" x14ac:dyDescent="0.2">
      <c r="A32" s="18" t="s">
        <v>3691</v>
      </c>
      <c r="B32" s="18">
        <v>30</v>
      </c>
      <c r="C32" s="237" t="s">
        <v>2057</v>
      </c>
      <c r="D32" s="237" t="s">
        <v>2718</v>
      </c>
      <c r="E32" s="23" t="s">
        <v>812</v>
      </c>
      <c r="F32" s="20" t="s">
        <v>813</v>
      </c>
      <c r="G32" s="20" t="s">
        <v>814</v>
      </c>
      <c r="H32" s="21" t="s">
        <v>2723</v>
      </c>
      <c r="I32" s="236" t="s">
        <v>2064</v>
      </c>
      <c r="J32" s="237" t="s">
        <v>3580</v>
      </c>
      <c r="K32" s="23" t="s">
        <v>2138</v>
      </c>
      <c r="L32" s="20" t="s">
        <v>2139</v>
      </c>
      <c r="M32" s="20" t="s">
        <v>2140</v>
      </c>
      <c r="N32" s="21" t="s">
        <v>3581</v>
      </c>
      <c r="O32" s="236" t="s">
        <v>2066</v>
      </c>
      <c r="P32" s="237" t="s">
        <v>4079</v>
      </c>
      <c r="Q32" s="20" t="s">
        <v>3575</v>
      </c>
      <c r="R32" s="20" t="s">
        <v>3576</v>
      </c>
      <c r="S32" s="20" t="s">
        <v>3511</v>
      </c>
      <c r="T32" s="21" t="s">
        <v>3543</v>
      </c>
    </row>
    <row r="33" spans="1:41" ht="12.9" customHeight="1" x14ac:dyDescent="0.2">
      <c r="A33" s="18" t="s">
        <v>2747</v>
      </c>
      <c r="B33" s="18">
        <v>24</v>
      </c>
      <c r="C33" s="237" t="s">
        <v>2057</v>
      </c>
      <c r="D33" s="237" t="s">
        <v>2718</v>
      </c>
      <c r="E33" s="23" t="s">
        <v>812</v>
      </c>
      <c r="F33" s="20" t="s">
        <v>813</v>
      </c>
      <c r="G33" s="20" t="s">
        <v>814</v>
      </c>
      <c r="H33" s="21" t="s">
        <v>2723</v>
      </c>
      <c r="I33" s="236" t="s">
        <v>2067</v>
      </c>
      <c r="J33" s="237" t="s">
        <v>3580</v>
      </c>
      <c r="K33" s="23" t="s">
        <v>2138</v>
      </c>
      <c r="L33" s="20" t="s">
        <v>2139</v>
      </c>
      <c r="M33" s="20" t="s">
        <v>2140</v>
      </c>
      <c r="N33" s="21" t="s">
        <v>3581</v>
      </c>
      <c r="O33" s="236"/>
      <c r="P33" s="237"/>
      <c r="Q33" s="248"/>
      <c r="R33" s="2"/>
      <c r="S33" s="2"/>
      <c r="T33" s="3"/>
      <c r="U33" s="2"/>
      <c r="V33" s="247"/>
    </row>
    <row r="34" spans="1:41" ht="12.9" customHeight="1" x14ac:dyDescent="0.2">
      <c r="A34" s="18" t="s">
        <v>2757</v>
      </c>
      <c r="B34" s="25">
        <v>23</v>
      </c>
      <c r="C34" s="237" t="s">
        <v>2068</v>
      </c>
      <c r="D34" s="237" t="s">
        <v>3357</v>
      </c>
      <c r="E34" s="23" t="s">
        <v>735</v>
      </c>
      <c r="F34" s="20" t="s">
        <v>3552</v>
      </c>
      <c r="G34" s="20" t="s">
        <v>736</v>
      </c>
      <c r="H34" s="21" t="s">
        <v>3555</v>
      </c>
      <c r="I34" s="236" t="s">
        <v>2069</v>
      </c>
      <c r="J34" s="237" t="s">
        <v>3908</v>
      </c>
      <c r="K34" s="7" t="s">
        <v>2419</v>
      </c>
      <c r="L34" s="2" t="s">
        <v>430</v>
      </c>
      <c r="M34" s="2" t="s">
        <v>431</v>
      </c>
      <c r="N34" s="3" t="s">
        <v>432</v>
      </c>
      <c r="O34" s="236"/>
      <c r="P34" s="237"/>
      <c r="Q34" s="23"/>
      <c r="R34" s="20"/>
      <c r="S34" s="20"/>
      <c r="T34" s="21"/>
      <c r="V34" s="247"/>
    </row>
    <row r="35" spans="1:41" ht="12.9" customHeight="1" x14ac:dyDescent="0.2">
      <c r="A35" s="18" t="s">
        <v>438</v>
      </c>
      <c r="B35" s="25">
        <v>23</v>
      </c>
      <c r="C35" s="236" t="s">
        <v>2068</v>
      </c>
      <c r="D35" s="237" t="s">
        <v>3357</v>
      </c>
      <c r="E35" s="23" t="s">
        <v>735</v>
      </c>
      <c r="F35" s="20" t="s">
        <v>3552</v>
      </c>
      <c r="G35" s="20" t="s">
        <v>736</v>
      </c>
      <c r="H35" s="21" t="s">
        <v>3555</v>
      </c>
      <c r="I35" s="236" t="s">
        <v>2069</v>
      </c>
      <c r="J35" s="237" t="s">
        <v>3908</v>
      </c>
      <c r="K35" s="7" t="s">
        <v>2419</v>
      </c>
      <c r="L35" s="2" t="s">
        <v>430</v>
      </c>
      <c r="M35" s="2" t="s">
        <v>431</v>
      </c>
      <c r="N35" s="3" t="s">
        <v>432</v>
      </c>
      <c r="O35" s="236"/>
      <c r="P35" s="237"/>
      <c r="Q35" s="23"/>
      <c r="R35" s="20"/>
      <c r="S35" s="20"/>
      <c r="T35" s="21"/>
    </row>
    <row r="36" spans="1:41" ht="12.9" customHeight="1" x14ac:dyDescent="0.2">
      <c r="A36" s="25">
        <v>2005</v>
      </c>
      <c r="B36" s="25">
        <v>29</v>
      </c>
      <c r="C36" s="237" t="s">
        <v>2070</v>
      </c>
      <c r="D36" s="249" t="s">
        <v>148</v>
      </c>
      <c r="E36" s="10" t="s">
        <v>2349</v>
      </c>
      <c r="F36" s="8" t="s">
        <v>2350</v>
      </c>
      <c r="G36" s="8" t="s">
        <v>2351</v>
      </c>
      <c r="H36" s="6" t="s">
        <v>2536</v>
      </c>
      <c r="I36" s="246" t="s">
        <v>2071</v>
      </c>
      <c r="J36" s="250" t="s">
        <v>3608</v>
      </c>
      <c r="K36" s="27" t="s">
        <v>2265</v>
      </c>
      <c r="L36" s="27" t="s">
        <v>3609</v>
      </c>
      <c r="M36" s="27" t="s">
        <v>3689</v>
      </c>
      <c r="N36" s="28" t="s">
        <v>3610</v>
      </c>
      <c r="O36" s="240"/>
      <c r="P36" s="237"/>
      <c r="Q36" s="2"/>
      <c r="R36" s="2"/>
      <c r="S36" s="2"/>
      <c r="T36" s="3"/>
    </row>
    <row r="37" spans="1:41" ht="12.9" customHeight="1" x14ac:dyDescent="0.2">
      <c r="A37" s="23">
        <v>2006</v>
      </c>
      <c r="B37" s="24">
        <v>27</v>
      </c>
      <c r="C37" s="236" t="s">
        <v>2072</v>
      </c>
      <c r="D37" s="237" t="s">
        <v>2668</v>
      </c>
      <c r="E37" s="20" t="s">
        <v>2672</v>
      </c>
      <c r="F37" s="20" t="s">
        <v>3081</v>
      </c>
      <c r="G37" s="20" t="s">
        <v>2306</v>
      </c>
      <c r="H37" s="21" t="s">
        <v>3368</v>
      </c>
      <c r="I37" s="236" t="s">
        <v>2073</v>
      </c>
      <c r="J37" s="250" t="s">
        <v>3608</v>
      </c>
      <c r="K37" s="27" t="s">
        <v>2265</v>
      </c>
      <c r="L37" s="27" t="s">
        <v>3609</v>
      </c>
      <c r="M37" s="27" t="s">
        <v>3689</v>
      </c>
      <c r="N37" s="28" t="s">
        <v>3610</v>
      </c>
      <c r="O37" s="236"/>
      <c r="P37" s="250"/>
      <c r="Q37" s="27"/>
      <c r="R37" s="27"/>
      <c r="S37" s="27"/>
      <c r="T37" s="28"/>
    </row>
    <row r="38" spans="1:41" s="26" customFormat="1" ht="12.9" customHeight="1" x14ac:dyDescent="0.2">
      <c r="A38" s="24">
        <v>2007</v>
      </c>
      <c r="B38" s="24">
        <v>28</v>
      </c>
      <c r="C38" s="240" t="s">
        <v>2074</v>
      </c>
      <c r="D38" s="237" t="s">
        <v>414</v>
      </c>
      <c r="E38" s="2" t="s">
        <v>415</v>
      </c>
      <c r="F38" s="2" t="s">
        <v>416</v>
      </c>
      <c r="G38" s="2" t="s">
        <v>417</v>
      </c>
      <c r="H38" s="3" t="s">
        <v>418</v>
      </c>
      <c r="I38" s="240" t="s">
        <v>2075</v>
      </c>
      <c r="J38" s="245" t="s">
        <v>2307</v>
      </c>
      <c r="K38" s="2" t="s">
        <v>735</v>
      </c>
      <c r="L38" s="2" t="s">
        <v>166</v>
      </c>
      <c r="M38" s="2" t="s">
        <v>2308</v>
      </c>
      <c r="N38" s="2" t="s">
        <v>3555</v>
      </c>
      <c r="O38" s="237"/>
      <c r="P38" s="241"/>
      <c r="Q38" s="242"/>
      <c r="R38" s="242"/>
      <c r="S38" s="242"/>
      <c r="T38" s="235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</row>
    <row r="39" spans="1:41" s="26" customFormat="1" ht="12.9" customHeight="1" x14ac:dyDescent="0.2">
      <c r="A39" s="24">
        <v>2008</v>
      </c>
      <c r="B39" s="24">
        <v>33</v>
      </c>
      <c r="C39" s="237" t="s">
        <v>2076</v>
      </c>
      <c r="D39" s="237" t="s">
        <v>2309</v>
      </c>
      <c r="E39" s="7" t="s">
        <v>822</v>
      </c>
      <c r="F39" s="2" t="s">
        <v>823</v>
      </c>
      <c r="G39" s="2" t="s">
        <v>824</v>
      </c>
      <c r="H39" s="3" t="s">
        <v>825</v>
      </c>
      <c r="I39" s="240" t="s">
        <v>2077</v>
      </c>
      <c r="J39" s="237" t="s">
        <v>3090</v>
      </c>
      <c r="K39" s="2" t="s">
        <v>3091</v>
      </c>
      <c r="L39" s="2" t="s">
        <v>3078</v>
      </c>
      <c r="M39" s="2" t="s">
        <v>3092</v>
      </c>
      <c r="N39" s="2" t="s">
        <v>3093</v>
      </c>
      <c r="O39" s="237"/>
      <c r="P39" s="250"/>
      <c r="Q39" s="27"/>
      <c r="R39" s="27"/>
      <c r="S39" s="27"/>
      <c r="T39" s="28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</row>
    <row r="40" spans="1:41" s="26" customFormat="1" ht="12.9" customHeight="1" x14ac:dyDescent="0.2">
      <c r="A40" s="24">
        <v>2009</v>
      </c>
      <c r="B40" s="24">
        <v>39</v>
      </c>
      <c r="C40" s="240" t="s">
        <v>3879</v>
      </c>
      <c r="D40" s="245" t="s">
        <v>3580</v>
      </c>
      <c r="E40" s="2" t="s">
        <v>3880</v>
      </c>
      <c r="F40" s="2" t="s">
        <v>2265</v>
      </c>
      <c r="G40" s="2" t="s">
        <v>3881</v>
      </c>
      <c r="H40" s="3" t="s">
        <v>3882</v>
      </c>
      <c r="I40" s="240" t="s">
        <v>230</v>
      </c>
      <c r="J40" s="237" t="s">
        <v>1973</v>
      </c>
      <c r="K40" s="2" t="s">
        <v>1785</v>
      </c>
      <c r="L40" s="2" t="s">
        <v>1786</v>
      </c>
      <c r="M40" s="2" t="s">
        <v>1787</v>
      </c>
      <c r="N40" s="2" t="s">
        <v>1788</v>
      </c>
      <c r="O40" s="237"/>
      <c r="P40" s="250"/>
      <c r="Q40" s="27"/>
      <c r="R40" s="27"/>
      <c r="S40" s="27"/>
      <c r="T40" s="28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</row>
    <row r="41" spans="1:41" s="26" customFormat="1" ht="12.9" customHeight="1" x14ac:dyDescent="0.2">
      <c r="A41" s="24">
        <v>2010</v>
      </c>
      <c r="B41" s="24">
        <v>42</v>
      </c>
      <c r="C41" s="240" t="s">
        <v>1791</v>
      </c>
      <c r="D41" s="245" t="s">
        <v>3580</v>
      </c>
      <c r="E41" s="2" t="s">
        <v>4063</v>
      </c>
      <c r="F41" s="2" t="s">
        <v>2725</v>
      </c>
      <c r="G41" s="2" t="s">
        <v>1659</v>
      </c>
      <c r="H41" s="3" t="s">
        <v>3690</v>
      </c>
      <c r="I41" s="240" t="s">
        <v>3343</v>
      </c>
      <c r="J41" s="237" t="s">
        <v>1328</v>
      </c>
      <c r="K41" s="2" t="s">
        <v>3517</v>
      </c>
      <c r="L41" s="2" t="s">
        <v>1329</v>
      </c>
      <c r="M41" s="2" t="s">
        <v>417</v>
      </c>
      <c r="N41" s="2" t="s">
        <v>418</v>
      </c>
      <c r="O41" s="237"/>
      <c r="P41" s="250"/>
      <c r="Q41" s="27"/>
      <c r="R41" s="27"/>
      <c r="S41" s="27"/>
      <c r="T41" s="28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</row>
    <row r="42" spans="1:41" s="26" customFormat="1" ht="12.9" customHeight="1" x14ac:dyDescent="0.2">
      <c r="A42" s="24">
        <v>2011</v>
      </c>
      <c r="B42" s="24">
        <v>42</v>
      </c>
      <c r="C42" s="240" t="s">
        <v>1332</v>
      </c>
      <c r="D42" s="237" t="s">
        <v>348</v>
      </c>
      <c r="E42" s="2" t="s">
        <v>439</v>
      </c>
      <c r="F42" s="2" t="s">
        <v>1626</v>
      </c>
      <c r="G42" s="2" t="s">
        <v>3354</v>
      </c>
      <c r="H42" s="2" t="s">
        <v>434</v>
      </c>
      <c r="I42" s="201" t="s">
        <v>3599</v>
      </c>
      <c r="J42" s="201" t="s">
        <v>2668</v>
      </c>
      <c r="K42" s="7" t="s">
        <v>3080</v>
      </c>
      <c r="L42" s="2" t="s">
        <v>3081</v>
      </c>
      <c r="M42" s="2" t="s">
        <v>3602</v>
      </c>
      <c r="N42" s="3" t="s">
        <v>252</v>
      </c>
      <c r="O42" s="237"/>
      <c r="P42" s="250"/>
      <c r="Q42" s="27"/>
      <c r="R42" s="27"/>
      <c r="S42" s="27"/>
      <c r="T42" s="28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</row>
    <row r="43" spans="1:41" s="26" customFormat="1" ht="12.9" customHeight="1" x14ac:dyDescent="0.2">
      <c r="A43" s="24">
        <v>2012</v>
      </c>
      <c r="B43" s="24">
        <v>38</v>
      </c>
      <c r="C43" s="201" t="s">
        <v>1585</v>
      </c>
      <c r="D43" s="197" t="s">
        <v>4079</v>
      </c>
      <c r="E43" s="2" t="s">
        <v>1969</v>
      </c>
      <c r="F43" s="2" t="s">
        <v>2968</v>
      </c>
      <c r="G43" s="2" t="s">
        <v>3271</v>
      </c>
      <c r="H43" s="3" t="s">
        <v>3555</v>
      </c>
      <c r="I43" s="240" t="s">
        <v>1332</v>
      </c>
      <c r="J43" s="237" t="s">
        <v>348</v>
      </c>
      <c r="K43" s="2" t="s">
        <v>439</v>
      </c>
      <c r="L43" s="2" t="s">
        <v>1626</v>
      </c>
      <c r="M43" s="2" t="s">
        <v>3354</v>
      </c>
      <c r="N43" s="2" t="s">
        <v>434</v>
      </c>
      <c r="O43" s="237"/>
      <c r="P43" s="250"/>
      <c r="Q43" s="27"/>
      <c r="R43" s="27"/>
      <c r="S43" s="27"/>
      <c r="T43" s="28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</row>
    <row r="44" spans="1:41" s="26" customFormat="1" ht="12.9" customHeight="1" x14ac:dyDescent="0.2">
      <c r="A44" s="505">
        <v>2013</v>
      </c>
      <c r="B44" s="505">
        <v>38</v>
      </c>
      <c r="C44" s="197" t="s">
        <v>2343</v>
      </c>
      <c r="D44" s="197" t="s">
        <v>2216</v>
      </c>
      <c r="E44" s="7" t="s">
        <v>1427</v>
      </c>
      <c r="F44" s="2" t="s">
        <v>173</v>
      </c>
      <c r="G44" s="2" t="s">
        <v>255</v>
      </c>
      <c r="H44" s="3" t="s">
        <v>252</v>
      </c>
      <c r="I44" s="197" t="s">
        <v>2697</v>
      </c>
      <c r="J44" s="245" t="s">
        <v>4079</v>
      </c>
      <c r="K44" s="2" t="s">
        <v>735</v>
      </c>
      <c r="L44" s="2" t="s">
        <v>4081</v>
      </c>
      <c r="M44" s="2" t="s">
        <v>3088</v>
      </c>
      <c r="N44" s="2" t="s">
        <v>3514</v>
      </c>
      <c r="O44" s="197"/>
      <c r="P44" s="197"/>
      <c r="Q44" s="7"/>
      <c r="R44" s="2"/>
      <c r="S44" s="2"/>
      <c r="T44" s="3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</row>
    <row r="45" spans="1:41" s="26" customFormat="1" ht="12.9" customHeight="1" x14ac:dyDescent="0.2">
      <c r="A45" s="505">
        <v>2014</v>
      </c>
      <c r="B45" s="505">
        <v>42</v>
      </c>
      <c r="C45" s="197" t="s">
        <v>2865</v>
      </c>
      <c r="D45" s="261" t="s">
        <v>332</v>
      </c>
      <c r="E45" s="27" t="s">
        <v>2893</v>
      </c>
      <c r="F45" s="27" t="s">
        <v>2894</v>
      </c>
      <c r="G45" s="27" t="s">
        <v>2895</v>
      </c>
      <c r="H45" s="28" t="s">
        <v>2896</v>
      </c>
      <c r="I45" s="197" t="s">
        <v>2697</v>
      </c>
      <c r="J45" s="245" t="s">
        <v>4079</v>
      </c>
      <c r="K45" s="2" t="s">
        <v>735</v>
      </c>
      <c r="L45" s="2" t="s">
        <v>4081</v>
      </c>
      <c r="M45" s="2" t="s">
        <v>3088</v>
      </c>
      <c r="N45" s="2" t="s">
        <v>3514</v>
      </c>
      <c r="O45" s="197"/>
      <c r="P45" s="197"/>
      <c r="Q45" s="2"/>
      <c r="R45" s="2"/>
      <c r="S45" s="2"/>
      <c r="T45" s="3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</row>
    <row r="46" spans="1:41" s="26" customFormat="1" ht="12.9" customHeight="1" x14ac:dyDescent="0.2">
      <c r="A46" s="505">
        <v>2015</v>
      </c>
      <c r="B46" s="505">
        <v>48</v>
      </c>
      <c r="C46" s="197" t="s">
        <v>949</v>
      </c>
      <c r="D46" s="197" t="s">
        <v>950</v>
      </c>
      <c r="E46" s="2" t="s">
        <v>3086</v>
      </c>
      <c r="F46" s="2" t="s">
        <v>3955</v>
      </c>
      <c r="G46" s="2" t="s">
        <v>2696</v>
      </c>
      <c r="H46" s="2" t="s">
        <v>2731</v>
      </c>
      <c r="I46" s="197" t="s">
        <v>956</v>
      </c>
      <c r="J46" s="245" t="s">
        <v>957</v>
      </c>
      <c r="K46" s="2" t="s">
        <v>917</v>
      </c>
      <c r="L46" s="2" t="s">
        <v>1291</v>
      </c>
      <c r="M46" s="2" t="s">
        <v>958</v>
      </c>
      <c r="N46" s="2" t="s">
        <v>959</v>
      </c>
      <c r="O46" s="197"/>
      <c r="P46" s="197"/>
      <c r="Q46" s="7"/>
      <c r="R46" s="2"/>
      <c r="S46" s="2"/>
      <c r="T46" s="3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</row>
    <row r="47" spans="1:41" s="26" customFormat="1" ht="12.9" customHeight="1" x14ac:dyDescent="0.2">
      <c r="A47" s="505">
        <v>2016</v>
      </c>
      <c r="B47" s="505">
        <v>29</v>
      </c>
      <c r="C47" s="280" t="s">
        <v>951</v>
      </c>
      <c r="D47" s="197" t="s">
        <v>952</v>
      </c>
      <c r="E47" s="2" t="s">
        <v>1427</v>
      </c>
      <c r="F47" s="2" t="s">
        <v>173</v>
      </c>
      <c r="G47" s="2" t="s">
        <v>457</v>
      </c>
      <c r="H47" s="3" t="s">
        <v>265</v>
      </c>
      <c r="I47" s="280" t="s">
        <v>987</v>
      </c>
      <c r="J47" s="245" t="s">
        <v>517</v>
      </c>
      <c r="K47" s="2" t="s">
        <v>698</v>
      </c>
      <c r="L47" s="2" t="s">
        <v>2767</v>
      </c>
      <c r="M47" s="2" t="s">
        <v>989</v>
      </c>
      <c r="N47" s="2" t="s">
        <v>990</v>
      </c>
      <c r="O47" s="197"/>
      <c r="P47" s="197"/>
      <c r="Q47" s="2"/>
      <c r="R47" s="2"/>
      <c r="S47" s="2"/>
      <c r="T47" s="3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</row>
    <row r="48" spans="1:41" s="26" customFormat="1" ht="12.9" customHeight="1" x14ac:dyDescent="0.2">
      <c r="A48" s="505">
        <v>2017</v>
      </c>
      <c r="B48" s="505">
        <v>38</v>
      </c>
      <c r="C48" s="280" t="s">
        <v>4330</v>
      </c>
      <c r="D48" s="197" t="s">
        <v>4394</v>
      </c>
      <c r="E48" s="2" t="s">
        <v>1243</v>
      </c>
      <c r="F48" s="2" t="s">
        <v>4331</v>
      </c>
      <c r="G48" s="2" t="s">
        <v>4332</v>
      </c>
      <c r="H48" s="3" t="s">
        <v>924</v>
      </c>
      <c r="I48" s="280" t="s">
        <v>4465</v>
      </c>
      <c r="J48" s="245" t="s">
        <v>4396</v>
      </c>
      <c r="K48" s="2" t="s">
        <v>4333</v>
      </c>
      <c r="L48" s="2" t="s">
        <v>4334</v>
      </c>
      <c r="M48" s="2" t="s">
        <v>4335</v>
      </c>
      <c r="N48" s="2" t="s">
        <v>4336</v>
      </c>
      <c r="O48" s="197"/>
      <c r="P48" s="197"/>
      <c r="Q48" s="2"/>
      <c r="R48" s="2"/>
      <c r="S48" s="2"/>
      <c r="T48" s="3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</row>
    <row r="49" spans="1:41" s="26" customFormat="1" ht="12.9" customHeight="1" x14ac:dyDescent="0.2">
      <c r="A49" s="505">
        <v>2018</v>
      </c>
      <c r="B49" s="505">
        <v>31</v>
      </c>
      <c r="C49" s="280" t="s">
        <v>4529</v>
      </c>
      <c r="D49" s="197" t="s">
        <v>4079</v>
      </c>
      <c r="E49" s="2" t="s">
        <v>4530</v>
      </c>
      <c r="F49" s="2" t="s">
        <v>4531</v>
      </c>
      <c r="G49" s="2" t="s">
        <v>3046</v>
      </c>
      <c r="H49" s="3" t="s">
        <v>959</v>
      </c>
      <c r="I49" s="280" t="s">
        <v>1103</v>
      </c>
      <c r="J49" s="245" t="s">
        <v>4599</v>
      </c>
      <c r="K49" s="2" t="s">
        <v>1105</v>
      </c>
      <c r="L49" s="2" t="s">
        <v>1106</v>
      </c>
      <c r="M49" s="2" t="s">
        <v>1107</v>
      </c>
      <c r="N49" s="2" t="s">
        <v>1108</v>
      </c>
      <c r="O49" s="197"/>
      <c r="P49" s="197"/>
      <c r="Q49" s="2"/>
      <c r="R49" s="2"/>
      <c r="S49" s="2"/>
      <c r="T49" s="3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</row>
    <row r="50" spans="1:41" s="26" customFormat="1" ht="12.9" customHeight="1" x14ac:dyDescent="0.2">
      <c r="A50" s="505">
        <v>2019</v>
      </c>
      <c r="B50" s="505">
        <v>36</v>
      </c>
      <c r="C50" s="280" t="s">
        <v>4669</v>
      </c>
      <c r="D50" s="197" t="s">
        <v>4489</v>
      </c>
      <c r="E50" s="2" t="s">
        <v>838</v>
      </c>
      <c r="F50" s="2" t="s">
        <v>4670</v>
      </c>
      <c r="G50" s="2" t="s">
        <v>4759</v>
      </c>
      <c r="H50" s="3" t="s">
        <v>924</v>
      </c>
      <c r="I50" s="280" t="s">
        <v>4678</v>
      </c>
      <c r="J50" s="245" t="s">
        <v>4707</v>
      </c>
      <c r="K50" s="2" t="s">
        <v>4350</v>
      </c>
      <c r="L50" s="2" t="s">
        <v>4679</v>
      </c>
      <c r="M50" s="2" t="s">
        <v>2410</v>
      </c>
      <c r="N50" s="2" t="s">
        <v>4539</v>
      </c>
      <c r="O50" s="197"/>
      <c r="P50" s="197"/>
      <c r="Q50" s="2"/>
      <c r="R50" s="2"/>
      <c r="S50" s="2"/>
      <c r="T50" s="3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</row>
    <row r="51" spans="1:41" s="26" customFormat="1" ht="12.9" customHeight="1" x14ac:dyDescent="0.2">
      <c r="A51" s="14"/>
      <c r="B51" s="14"/>
      <c r="C51" s="251"/>
      <c r="D51" s="252"/>
      <c r="E51" s="4"/>
      <c r="F51" s="4"/>
      <c r="G51" s="4"/>
      <c r="H51" s="5"/>
      <c r="I51" s="251"/>
      <c r="J51" s="253"/>
      <c r="K51" s="4"/>
      <c r="L51" s="4"/>
      <c r="M51" s="4"/>
      <c r="N51" s="4"/>
      <c r="O51" s="252"/>
      <c r="P51" s="254"/>
      <c r="Q51" s="255"/>
      <c r="R51" s="255"/>
      <c r="S51" s="255"/>
      <c r="T51" s="256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</row>
    <row r="70" spans="1:20" ht="15.6" x14ac:dyDescent="0.3">
      <c r="A70" s="678" t="s">
        <v>3927</v>
      </c>
      <c r="B70" s="678"/>
      <c r="C70" s="678"/>
      <c r="D70" s="678"/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</row>
    <row r="71" spans="1:20" ht="12.9" customHeight="1" x14ac:dyDescent="0.2">
      <c r="A71" s="11" t="s">
        <v>2012</v>
      </c>
      <c r="B71" s="12"/>
      <c r="C71" s="679" t="s">
        <v>4290</v>
      </c>
      <c r="D71" s="680"/>
      <c r="E71" s="680"/>
      <c r="F71" s="680"/>
      <c r="G71" s="680"/>
      <c r="H71" s="681"/>
      <c r="I71" s="679" t="s">
        <v>4291</v>
      </c>
      <c r="J71" s="680"/>
      <c r="K71" s="680"/>
      <c r="L71" s="680"/>
      <c r="M71" s="680"/>
      <c r="N71" s="681"/>
      <c r="O71" s="679" t="s">
        <v>4292</v>
      </c>
      <c r="P71" s="680"/>
      <c r="Q71" s="680"/>
      <c r="R71" s="680"/>
      <c r="S71" s="680"/>
      <c r="T71" s="681"/>
    </row>
    <row r="72" spans="1:20" ht="12.9" customHeight="1" x14ac:dyDescent="0.2">
      <c r="A72" s="14"/>
      <c r="B72" s="15"/>
      <c r="C72" s="15" t="s">
        <v>2016</v>
      </c>
      <c r="D72" s="16" t="s">
        <v>3376</v>
      </c>
      <c r="E72" s="16" t="s">
        <v>2017</v>
      </c>
      <c r="F72" s="16" t="s">
        <v>2018</v>
      </c>
      <c r="G72" s="16" t="s">
        <v>2019</v>
      </c>
      <c r="H72" s="17" t="s">
        <v>2020</v>
      </c>
      <c r="I72" s="15" t="s">
        <v>2016</v>
      </c>
      <c r="J72" s="16" t="s">
        <v>3376</v>
      </c>
      <c r="K72" s="16" t="s">
        <v>2017</v>
      </c>
      <c r="L72" s="16" t="s">
        <v>2018</v>
      </c>
      <c r="M72" s="16" t="s">
        <v>2019</v>
      </c>
      <c r="N72" s="17" t="s">
        <v>2020</v>
      </c>
      <c r="O72" s="15" t="s">
        <v>2016</v>
      </c>
      <c r="P72" s="16" t="s">
        <v>3376</v>
      </c>
      <c r="Q72" s="16" t="s">
        <v>2017</v>
      </c>
      <c r="R72" s="16" t="s">
        <v>2018</v>
      </c>
      <c r="S72" s="16" t="s">
        <v>2019</v>
      </c>
      <c r="T72" s="17" t="s">
        <v>2020</v>
      </c>
    </row>
    <row r="73" spans="1:20" ht="12.9" customHeight="1" x14ac:dyDescent="0.2">
      <c r="A73" s="18" t="s">
        <v>2021</v>
      </c>
      <c r="B73" s="18">
        <v>14</v>
      </c>
      <c r="C73" s="24"/>
      <c r="D73" s="24"/>
      <c r="E73" s="234"/>
      <c r="F73" s="234"/>
      <c r="G73" s="234"/>
      <c r="H73" s="235"/>
      <c r="I73" s="236"/>
      <c r="J73" s="237"/>
      <c r="O73" s="236"/>
      <c r="P73" s="238"/>
      <c r="Q73" s="20"/>
      <c r="R73" s="20"/>
      <c r="S73" s="20"/>
      <c r="T73" s="21"/>
    </row>
    <row r="74" spans="1:20" ht="12.9" customHeight="1" x14ac:dyDescent="0.2">
      <c r="A74" s="18" t="s">
        <v>2039</v>
      </c>
      <c r="B74" s="18">
        <v>22</v>
      </c>
      <c r="C74" s="239" t="s">
        <v>277</v>
      </c>
      <c r="D74" s="237"/>
      <c r="I74" s="236"/>
      <c r="J74" s="237"/>
      <c r="N74" s="21"/>
      <c r="O74" s="236"/>
      <c r="P74" s="237"/>
      <c r="Q74" s="20"/>
      <c r="R74" s="20"/>
      <c r="S74" s="20"/>
      <c r="T74" s="21"/>
    </row>
    <row r="75" spans="1:20" ht="12.9" customHeight="1" x14ac:dyDescent="0.2">
      <c r="A75" s="18" t="s">
        <v>584</v>
      </c>
      <c r="B75" s="18">
        <v>30</v>
      </c>
      <c r="C75" s="239" t="s">
        <v>277</v>
      </c>
      <c r="D75" s="237"/>
      <c r="E75" s="20"/>
      <c r="F75" s="20"/>
      <c r="G75" s="20"/>
      <c r="H75" s="21"/>
      <c r="I75" s="236"/>
      <c r="J75" s="237"/>
      <c r="K75" s="20"/>
      <c r="L75" s="20"/>
      <c r="M75" s="20"/>
      <c r="N75" s="20"/>
      <c r="O75" s="236"/>
      <c r="P75" s="237"/>
      <c r="Q75" s="19"/>
      <c r="R75" s="19"/>
      <c r="S75" s="19"/>
      <c r="T75" s="21"/>
    </row>
    <row r="76" spans="1:20" ht="12.9" customHeight="1" x14ac:dyDescent="0.2">
      <c r="A76" s="18" t="s">
        <v>596</v>
      </c>
      <c r="B76" s="18">
        <v>28</v>
      </c>
      <c r="C76" s="239" t="s">
        <v>277</v>
      </c>
      <c r="D76" s="237"/>
      <c r="I76" s="236"/>
      <c r="J76" s="237"/>
      <c r="K76" s="20"/>
      <c r="L76" s="20"/>
      <c r="M76" s="20"/>
      <c r="N76" s="21"/>
      <c r="O76" s="240"/>
      <c r="P76" s="237"/>
      <c r="Q76" s="20"/>
      <c r="R76" s="20"/>
      <c r="S76" s="20"/>
      <c r="T76" s="21"/>
    </row>
    <row r="77" spans="1:20" ht="12.9" customHeight="1" x14ac:dyDescent="0.2">
      <c r="A77" s="18" t="s">
        <v>3203</v>
      </c>
      <c r="B77" s="18">
        <v>16</v>
      </c>
      <c r="C77" s="237" t="s">
        <v>3529</v>
      </c>
      <c r="D77" s="237" t="s">
        <v>2041</v>
      </c>
      <c r="E77" s="20" t="s">
        <v>3535</v>
      </c>
      <c r="F77" s="20" t="s">
        <v>3536</v>
      </c>
      <c r="G77" s="20" t="s">
        <v>3537</v>
      </c>
      <c r="H77" s="21" t="s">
        <v>3538</v>
      </c>
      <c r="I77" s="239" t="s">
        <v>3224</v>
      </c>
      <c r="J77" s="237"/>
      <c r="K77" s="239" t="s">
        <v>3223</v>
      </c>
      <c r="L77" s="20"/>
      <c r="M77" s="20"/>
      <c r="N77" s="20"/>
      <c r="O77" s="236"/>
      <c r="P77" s="241"/>
      <c r="Q77" s="234"/>
      <c r="R77" s="242"/>
      <c r="S77" s="234"/>
      <c r="T77" s="235"/>
    </row>
    <row r="78" spans="1:20" ht="12.9" customHeight="1" x14ac:dyDescent="0.2">
      <c r="A78" s="22" t="s">
        <v>3213</v>
      </c>
      <c r="B78" s="22"/>
      <c r="C78" s="243" t="s">
        <v>3214</v>
      </c>
      <c r="D78" s="237"/>
      <c r="E78" s="20"/>
      <c r="F78" s="20"/>
      <c r="G78" s="20"/>
      <c r="H78" s="21"/>
      <c r="I78" s="237"/>
      <c r="J78" s="237"/>
      <c r="K78" s="20"/>
      <c r="L78" s="20"/>
      <c r="M78" s="20"/>
      <c r="N78" s="21"/>
      <c r="O78" s="237"/>
      <c r="P78" s="237"/>
      <c r="Q78" s="20"/>
      <c r="R78" s="20"/>
      <c r="S78" s="20"/>
      <c r="T78" s="21"/>
    </row>
    <row r="79" spans="1:20" ht="12.9" customHeight="1" x14ac:dyDescent="0.2">
      <c r="A79" s="22">
        <v>1979</v>
      </c>
      <c r="B79" s="22"/>
      <c r="C79" s="243" t="s">
        <v>3216</v>
      </c>
      <c r="D79" s="241"/>
      <c r="E79" s="234"/>
      <c r="F79" s="234"/>
      <c r="G79" s="234"/>
      <c r="H79" s="234"/>
      <c r="I79" s="236"/>
      <c r="J79" s="237"/>
      <c r="K79" s="20"/>
      <c r="L79" s="20"/>
      <c r="M79" s="20"/>
      <c r="N79" s="20"/>
      <c r="O79" s="236"/>
      <c r="P79" s="237"/>
      <c r="Q79" s="20"/>
      <c r="R79" s="20"/>
      <c r="S79" s="20"/>
      <c r="T79" s="21"/>
    </row>
    <row r="80" spans="1:20" ht="12.9" customHeight="1" x14ac:dyDescent="0.2">
      <c r="A80" s="18" t="s">
        <v>4066</v>
      </c>
      <c r="B80" s="18">
        <v>24</v>
      </c>
      <c r="C80" s="244"/>
      <c r="D80" s="237"/>
      <c r="E80" s="20"/>
      <c r="F80" s="20"/>
      <c r="G80" s="20"/>
      <c r="H80" s="20"/>
      <c r="I80" s="237"/>
      <c r="J80" s="237"/>
      <c r="K80" s="20"/>
      <c r="L80" s="20"/>
      <c r="M80" s="20"/>
      <c r="N80" s="21"/>
      <c r="O80" s="236"/>
      <c r="P80" s="237"/>
      <c r="Q80" s="20"/>
      <c r="R80" s="20"/>
      <c r="S80" s="20"/>
      <c r="T80" s="21"/>
    </row>
    <row r="81" spans="1:34" ht="12.9" customHeight="1" x14ac:dyDescent="0.2">
      <c r="A81" s="18" t="s">
        <v>4240</v>
      </c>
      <c r="B81" s="18">
        <v>31</v>
      </c>
      <c r="C81" s="244"/>
      <c r="D81" s="237"/>
      <c r="E81" s="20"/>
      <c r="F81" s="20"/>
      <c r="G81" s="20"/>
      <c r="H81" s="20"/>
      <c r="I81" s="237"/>
      <c r="J81" s="237"/>
      <c r="K81" s="20"/>
      <c r="L81" s="20"/>
      <c r="M81" s="20"/>
      <c r="N81" s="21"/>
      <c r="O81" s="236"/>
      <c r="P81" s="237"/>
      <c r="Q81" s="20"/>
      <c r="R81" s="20"/>
      <c r="S81" s="20"/>
      <c r="T81" s="21"/>
    </row>
    <row r="82" spans="1:34" ht="12.9" customHeight="1" x14ac:dyDescent="0.2">
      <c r="A82" s="18" t="s">
        <v>4254</v>
      </c>
      <c r="B82" s="25">
        <v>23</v>
      </c>
      <c r="C82" s="203" t="s">
        <v>4241</v>
      </c>
      <c r="D82" s="201" t="s">
        <v>3928</v>
      </c>
      <c r="E82" s="19" t="s">
        <v>3205</v>
      </c>
      <c r="F82" s="19" t="s">
        <v>4243</v>
      </c>
      <c r="G82" s="19" t="s">
        <v>2268</v>
      </c>
      <c r="H82" s="19" t="s">
        <v>40</v>
      </c>
      <c r="I82" s="236" t="s">
        <v>3930</v>
      </c>
      <c r="J82" s="237" t="s">
        <v>3931</v>
      </c>
      <c r="K82" s="20"/>
      <c r="L82" s="20"/>
      <c r="M82" s="20"/>
      <c r="N82" s="20"/>
      <c r="O82" s="236" t="s">
        <v>3929</v>
      </c>
      <c r="P82" s="201" t="s">
        <v>550</v>
      </c>
      <c r="Q82" s="20" t="s">
        <v>416</v>
      </c>
      <c r="R82" s="20" t="s">
        <v>3262</v>
      </c>
      <c r="S82" s="20" t="s">
        <v>808</v>
      </c>
      <c r="T82" s="21" t="s">
        <v>3263</v>
      </c>
    </row>
    <row r="83" spans="1:34" ht="12.9" customHeight="1" x14ac:dyDescent="0.2">
      <c r="A83" s="18" t="s">
        <v>4153</v>
      </c>
      <c r="B83" s="25">
        <v>25</v>
      </c>
      <c r="C83" s="240" t="s">
        <v>4255</v>
      </c>
      <c r="D83" s="237" t="s">
        <v>1636</v>
      </c>
      <c r="E83" s="19" t="s">
        <v>3534</v>
      </c>
      <c r="F83" s="19" t="s">
        <v>4258</v>
      </c>
      <c r="G83" s="19" t="s">
        <v>3476</v>
      </c>
      <c r="H83" s="19" t="s">
        <v>4260</v>
      </c>
      <c r="I83" s="237" t="s">
        <v>3932</v>
      </c>
      <c r="J83" s="237" t="s">
        <v>4041</v>
      </c>
      <c r="K83" s="19" t="s">
        <v>4056</v>
      </c>
      <c r="L83" s="19" t="s">
        <v>4057</v>
      </c>
      <c r="M83" s="19" t="s">
        <v>4044</v>
      </c>
      <c r="N83" s="19" t="s">
        <v>3934</v>
      </c>
      <c r="O83" s="236" t="s">
        <v>3933</v>
      </c>
      <c r="P83" s="237" t="s">
        <v>2041</v>
      </c>
      <c r="Q83" s="20" t="s">
        <v>2418</v>
      </c>
      <c r="R83" s="20" t="s">
        <v>3012</v>
      </c>
      <c r="S83" s="20" t="s">
        <v>3013</v>
      </c>
      <c r="T83" s="21" t="s">
        <v>208</v>
      </c>
    </row>
    <row r="84" spans="1:34" ht="12.9" customHeight="1" x14ac:dyDescent="0.2">
      <c r="A84" s="18" t="s">
        <v>4167</v>
      </c>
      <c r="B84" s="18">
        <v>26</v>
      </c>
      <c r="C84" s="236" t="s">
        <v>4154</v>
      </c>
      <c r="D84" s="237" t="s">
        <v>4155</v>
      </c>
      <c r="E84" s="19" t="s">
        <v>4156</v>
      </c>
      <c r="F84" s="19" t="s">
        <v>4157</v>
      </c>
      <c r="G84" s="19" t="s">
        <v>4158</v>
      </c>
      <c r="H84" s="19" t="s">
        <v>3385</v>
      </c>
      <c r="I84" s="237" t="s">
        <v>1527</v>
      </c>
      <c r="J84" s="237" t="s">
        <v>2041</v>
      </c>
      <c r="K84" s="20" t="s">
        <v>1529</v>
      </c>
      <c r="L84" s="20" t="s">
        <v>2456</v>
      </c>
      <c r="M84" s="20" t="s">
        <v>3543</v>
      </c>
      <c r="N84" s="21" t="s">
        <v>2457</v>
      </c>
      <c r="O84" s="237" t="s">
        <v>3935</v>
      </c>
      <c r="P84" s="237" t="s">
        <v>3936</v>
      </c>
      <c r="Q84" s="20" t="s">
        <v>3215</v>
      </c>
      <c r="R84" s="20" t="s">
        <v>3215</v>
      </c>
      <c r="S84" s="20" t="s">
        <v>3215</v>
      </c>
      <c r="T84" s="21" t="s">
        <v>3215</v>
      </c>
    </row>
    <row r="85" spans="1:34" ht="12.9" customHeight="1" x14ac:dyDescent="0.2">
      <c r="A85" s="18" t="s">
        <v>4034</v>
      </c>
      <c r="B85" s="18">
        <v>34</v>
      </c>
      <c r="C85" s="237" t="s">
        <v>4160</v>
      </c>
      <c r="D85" s="201" t="s">
        <v>4161</v>
      </c>
      <c r="E85" s="19" t="s">
        <v>3534</v>
      </c>
      <c r="F85" s="19" t="s">
        <v>558</v>
      </c>
      <c r="G85" s="19" t="s">
        <v>167</v>
      </c>
      <c r="H85" s="19" t="s">
        <v>4162</v>
      </c>
      <c r="I85" s="237" t="s">
        <v>3937</v>
      </c>
      <c r="J85" s="237" t="s">
        <v>550</v>
      </c>
      <c r="K85" s="19" t="s">
        <v>1329</v>
      </c>
      <c r="L85" s="19" t="s">
        <v>3011</v>
      </c>
      <c r="M85" s="19" t="s">
        <v>808</v>
      </c>
      <c r="N85" s="21" t="s">
        <v>3393</v>
      </c>
      <c r="O85" s="237" t="s">
        <v>860</v>
      </c>
      <c r="P85" s="201" t="s">
        <v>861</v>
      </c>
      <c r="Q85" s="19" t="s">
        <v>763</v>
      </c>
      <c r="R85" s="19" t="s">
        <v>863</v>
      </c>
      <c r="S85" s="19" t="s">
        <v>864</v>
      </c>
      <c r="T85" s="21" t="s">
        <v>865</v>
      </c>
    </row>
    <row r="86" spans="1:34" ht="12.9" customHeight="1" x14ac:dyDescent="0.2">
      <c r="A86" s="18" t="s">
        <v>4046</v>
      </c>
      <c r="B86" s="18">
        <v>34</v>
      </c>
      <c r="C86" s="236" t="s">
        <v>4176</v>
      </c>
      <c r="D86" s="201" t="s">
        <v>4177</v>
      </c>
      <c r="E86" s="19" t="s">
        <v>4178</v>
      </c>
      <c r="F86" s="19" t="s">
        <v>4031</v>
      </c>
      <c r="G86" s="19" t="s">
        <v>4032</v>
      </c>
      <c r="H86" s="19" t="s">
        <v>4033</v>
      </c>
      <c r="I86" s="237" t="s">
        <v>3437</v>
      </c>
      <c r="J86" s="237" t="s">
        <v>579</v>
      </c>
      <c r="K86" s="20" t="s">
        <v>746</v>
      </c>
      <c r="L86" s="20" t="s">
        <v>1831</v>
      </c>
      <c r="M86" s="20" t="s">
        <v>297</v>
      </c>
      <c r="N86" s="21" t="s">
        <v>296</v>
      </c>
      <c r="O86" s="237" t="s">
        <v>792</v>
      </c>
      <c r="P86" s="237" t="s">
        <v>1860</v>
      </c>
      <c r="Q86" s="19" t="s">
        <v>793</v>
      </c>
      <c r="R86" s="19" t="s">
        <v>1862</v>
      </c>
      <c r="S86" s="19" t="s">
        <v>1863</v>
      </c>
      <c r="T86" s="21" t="s">
        <v>794</v>
      </c>
    </row>
    <row r="87" spans="1:34" ht="12.9" customHeight="1" x14ac:dyDescent="0.2">
      <c r="A87" s="18" t="s">
        <v>4060</v>
      </c>
      <c r="B87" s="18">
        <v>33</v>
      </c>
      <c r="C87" s="201" t="s">
        <v>3453</v>
      </c>
      <c r="D87" s="201" t="s">
        <v>2272</v>
      </c>
      <c r="E87" s="20" t="s">
        <v>2138</v>
      </c>
      <c r="F87" s="20" t="s">
        <v>2345</v>
      </c>
      <c r="G87" s="20" t="s">
        <v>4064</v>
      </c>
      <c r="H87" s="21" t="s">
        <v>4065</v>
      </c>
      <c r="I87" s="236" t="s">
        <v>3547</v>
      </c>
      <c r="J87" s="237" t="s">
        <v>421</v>
      </c>
      <c r="K87" s="19" t="s">
        <v>3548</v>
      </c>
      <c r="L87" s="19" t="s">
        <v>3549</v>
      </c>
      <c r="M87" s="19" t="s">
        <v>3289</v>
      </c>
      <c r="N87" s="21" t="s">
        <v>766</v>
      </c>
      <c r="O87" s="236"/>
      <c r="P87" s="237"/>
      <c r="Q87" s="19"/>
      <c r="R87" s="19"/>
      <c r="S87" s="19"/>
      <c r="T87" s="21"/>
    </row>
    <row r="88" spans="1:34" ht="12.9" customHeight="1" x14ac:dyDescent="0.2">
      <c r="A88" s="18" t="s">
        <v>32</v>
      </c>
      <c r="B88" s="18">
        <v>36</v>
      </c>
      <c r="C88" s="201" t="s">
        <v>4055</v>
      </c>
      <c r="D88" s="201" t="s">
        <v>4041</v>
      </c>
      <c r="E88" s="19" t="s">
        <v>4056</v>
      </c>
      <c r="F88" s="19" t="s">
        <v>4057</v>
      </c>
      <c r="G88" s="19" t="s">
        <v>4058</v>
      </c>
      <c r="H88" s="19" t="s">
        <v>4059</v>
      </c>
      <c r="I88" s="237" t="s">
        <v>1893</v>
      </c>
      <c r="J88" s="246" t="s">
        <v>4041</v>
      </c>
      <c r="K88" s="20" t="s">
        <v>3009</v>
      </c>
      <c r="L88" s="20" t="s">
        <v>3008</v>
      </c>
      <c r="M88" s="20" t="s">
        <v>2369</v>
      </c>
      <c r="N88" s="21" t="s">
        <v>3010</v>
      </c>
      <c r="O88" s="237" t="s">
        <v>3573</v>
      </c>
      <c r="P88" s="201" t="s">
        <v>1879</v>
      </c>
      <c r="Q88" s="20" t="s">
        <v>765</v>
      </c>
      <c r="R88" s="20" t="s">
        <v>2160</v>
      </c>
      <c r="S88" s="20" t="s">
        <v>859</v>
      </c>
      <c r="T88" s="21" t="s">
        <v>690</v>
      </c>
      <c r="AC88" s="247"/>
      <c r="AD88" s="247"/>
      <c r="AE88" s="247"/>
      <c r="AF88" s="247"/>
      <c r="AG88" s="247"/>
      <c r="AH88" s="247"/>
    </row>
    <row r="89" spans="1:34" ht="12.9" customHeight="1" x14ac:dyDescent="0.2">
      <c r="A89" s="18" t="s">
        <v>46</v>
      </c>
      <c r="B89" s="18">
        <v>33</v>
      </c>
      <c r="C89" s="237" t="s">
        <v>33</v>
      </c>
      <c r="D89" s="201" t="s">
        <v>34</v>
      </c>
      <c r="E89" s="19" t="s">
        <v>3534</v>
      </c>
      <c r="F89" s="19" t="s">
        <v>558</v>
      </c>
      <c r="G89" s="19" t="s">
        <v>270</v>
      </c>
      <c r="H89" s="19" t="s">
        <v>37</v>
      </c>
      <c r="I89" s="237" t="s">
        <v>1871</v>
      </c>
      <c r="J89" s="246" t="s">
        <v>2662</v>
      </c>
      <c r="K89" s="20" t="s">
        <v>3246</v>
      </c>
      <c r="L89" s="20" t="s">
        <v>3247</v>
      </c>
      <c r="M89" s="20" t="s">
        <v>2665</v>
      </c>
      <c r="N89" s="20" t="s">
        <v>2666</v>
      </c>
      <c r="O89" s="237" t="s">
        <v>1893</v>
      </c>
      <c r="P89" s="246" t="s">
        <v>4041</v>
      </c>
      <c r="Q89" s="20" t="s">
        <v>3009</v>
      </c>
      <c r="R89" s="20" t="s">
        <v>3008</v>
      </c>
      <c r="S89" s="20" t="s">
        <v>2369</v>
      </c>
      <c r="T89" s="21" t="s">
        <v>804</v>
      </c>
      <c r="AC89" s="247"/>
      <c r="AD89" s="247"/>
      <c r="AE89" s="247"/>
      <c r="AF89" s="247"/>
      <c r="AG89" s="247"/>
      <c r="AH89" s="247"/>
    </row>
    <row r="90" spans="1:34" ht="12.9" customHeight="1" x14ac:dyDescent="0.2">
      <c r="A90" s="18" t="s">
        <v>4073</v>
      </c>
      <c r="B90" s="18">
        <v>39</v>
      </c>
      <c r="C90" s="201" t="s">
        <v>38</v>
      </c>
      <c r="D90" s="201" t="s">
        <v>39</v>
      </c>
      <c r="E90" s="19" t="s">
        <v>40</v>
      </c>
      <c r="F90" s="19" t="s">
        <v>2812</v>
      </c>
      <c r="G90" s="19" t="s">
        <v>2268</v>
      </c>
      <c r="H90" s="19" t="s">
        <v>43</v>
      </c>
      <c r="I90" s="236" t="s">
        <v>257</v>
      </c>
      <c r="J90" s="237" t="s">
        <v>4079</v>
      </c>
      <c r="K90" s="19" t="s">
        <v>258</v>
      </c>
      <c r="L90" s="19" t="s">
        <v>4081</v>
      </c>
      <c r="M90" s="19" t="s">
        <v>261</v>
      </c>
      <c r="N90" s="19" t="s">
        <v>260</v>
      </c>
      <c r="O90" s="236" t="s">
        <v>203</v>
      </c>
      <c r="P90" s="201" t="s">
        <v>1860</v>
      </c>
      <c r="Q90" s="19" t="s">
        <v>1862</v>
      </c>
      <c r="R90" s="20" t="s">
        <v>3258</v>
      </c>
      <c r="S90" s="20" t="s">
        <v>1863</v>
      </c>
      <c r="T90" s="21" t="s">
        <v>496</v>
      </c>
      <c r="AC90" s="247"/>
      <c r="AD90" s="247"/>
      <c r="AE90" s="247"/>
      <c r="AF90" s="247"/>
      <c r="AG90" s="247"/>
      <c r="AH90" s="247"/>
    </row>
    <row r="91" spans="1:34" ht="12.9" customHeight="1" x14ac:dyDescent="0.2">
      <c r="A91" s="18" t="s">
        <v>4087</v>
      </c>
      <c r="B91" s="18">
        <v>28</v>
      </c>
      <c r="C91" s="200" t="s">
        <v>48</v>
      </c>
      <c r="D91" s="201" t="s">
        <v>49</v>
      </c>
      <c r="E91" s="20" t="s">
        <v>458</v>
      </c>
      <c r="F91" s="20" t="s">
        <v>2705</v>
      </c>
      <c r="G91" s="20" t="s">
        <v>2706</v>
      </c>
      <c r="H91" s="20" t="s">
        <v>4068</v>
      </c>
      <c r="I91" s="201" t="s">
        <v>2094</v>
      </c>
      <c r="J91" s="201" t="s">
        <v>1459</v>
      </c>
      <c r="K91" s="19" t="s">
        <v>1460</v>
      </c>
      <c r="L91" s="19" t="s">
        <v>1461</v>
      </c>
      <c r="M91" s="19" t="s">
        <v>2154</v>
      </c>
      <c r="N91" s="21" t="s">
        <v>1303</v>
      </c>
      <c r="O91" s="201" t="s">
        <v>1906</v>
      </c>
      <c r="P91" s="202" t="s">
        <v>1879</v>
      </c>
      <c r="Q91" s="466" t="s">
        <v>3325</v>
      </c>
      <c r="R91" s="466" t="s">
        <v>3321</v>
      </c>
      <c r="S91" s="466" t="s">
        <v>3324</v>
      </c>
      <c r="T91" s="465" t="s">
        <v>1494</v>
      </c>
    </row>
    <row r="92" spans="1:34" ht="12.9" customHeight="1" x14ac:dyDescent="0.2">
      <c r="A92" s="18" t="s">
        <v>135</v>
      </c>
      <c r="B92" s="18">
        <v>33</v>
      </c>
      <c r="C92" s="201" t="s">
        <v>4098</v>
      </c>
      <c r="D92" s="201" t="s">
        <v>4079</v>
      </c>
      <c r="E92" s="19" t="s">
        <v>4080</v>
      </c>
      <c r="F92" s="19" t="s">
        <v>558</v>
      </c>
      <c r="G92" s="19" t="s">
        <v>270</v>
      </c>
      <c r="H92" s="19" t="s">
        <v>4083</v>
      </c>
      <c r="I92" s="200" t="s">
        <v>288</v>
      </c>
      <c r="J92" s="201" t="s">
        <v>4041</v>
      </c>
      <c r="K92" s="20" t="s">
        <v>289</v>
      </c>
      <c r="L92" s="20" t="s">
        <v>290</v>
      </c>
      <c r="M92" s="20" t="s">
        <v>4058</v>
      </c>
      <c r="N92" s="20" t="s">
        <v>291</v>
      </c>
      <c r="O92" s="201" t="s">
        <v>2095</v>
      </c>
      <c r="P92" s="201" t="s">
        <v>1378</v>
      </c>
      <c r="Q92" s="23" t="s">
        <v>3005</v>
      </c>
      <c r="R92" s="20" t="s">
        <v>3006</v>
      </c>
      <c r="S92" s="20" t="s">
        <v>2534</v>
      </c>
      <c r="T92" s="21" t="s">
        <v>278</v>
      </c>
    </row>
    <row r="93" spans="1:34" ht="12.9" customHeight="1" x14ac:dyDescent="0.2">
      <c r="A93" s="18" t="s">
        <v>144</v>
      </c>
      <c r="B93" s="18">
        <v>27</v>
      </c>
      <c r="C93" s="201" t="s">
        <v>4100</v>
      </c>
      <c r="D93" s="201" t="s">
        <v>130</v>
      </c>
      <c r="E93" s="19" t="s">
        <v>131</v>
      </c>
      <c r="F93" s="19" t="s">
        <v>132</v>
      </c>
      <c r="G93" s="19" t="s">
        <v>133</v>
      </c>
      <c r="H93" s="19" t="s">
        <v>252</v>
      </c>
      <c r="I93" s="201" t="s">
        <v>2101</v>
      </c>
      <c r="J93" s="201" t="s">
        <v>550</v>
      </c>
      <c r="K93" s="19" t="s">
        <v>1371</v>
      </c>
      <c r="L93" s="19" t="s">
        <v>1372</v>
      </c>
      <c r="M93" s="19" t="s">
        <v>1373</v>
      </c>
      <c r="N93" s="19" t="s">
        <v>503</v>
      </c>
      <c r="O93" s="201" t="s">
        <v>1871</v>
      </c>
      <c r="P93" s="201" t="s">
        <v>2662</v>
      </c>
      <c r="Q93" s="20" t="s">
        <v>3246</v>
      </c>
      <c r="R93" s="20" t="s">
        <v>3247</v>
      </c>
      <c r="S93" s="20" t="s">
        <v>2665</v>
      </c>
      <c r="T93" s="21" t="s">
        <v>2666</v>
      </c>
    </row>
    <row r="94" spans="1:34" ht="12.9" customHeight="1" x14ac:dyDescent="0.2">
      <c r="A94" s="18" t="s">
        <v>155</v>
      </c>
      <c r="B94" s="18">
        <v>37</v>
      </c>
      <c r="C94" s="201" t="s">
        <v>138</v>
      </c>
      <c r="D94" s="201" t="s">
        <v>139</v>
      </c>
      <c r="E94" s="19" t="s">
        <v>145</v>
      </c>
      <c r="F94" s="19" t="s">
        <v>146</v>
      </c>
      <c r="G94" s="19" t="s">
        <v>2817</v>
      </c>
      <c r="H94" s="21" t="s">
        <v>2818</v>
      </c>
      <c r="I94" s="202" t="s">
        <v>1871</v>
      </c>
      <c r="J94" s="202" t="s">
        <v>2662</v>
      </c>
      <c r="K94" s="20" t="s">
        <v>3246</v>
      </c>
      <c r="L94" s="20" t="s">
        <v>3247</v>
      </c>
      <c r="M94" s="20" t="s">
        <v>2665</v>
      </c>
      <c r="N94" s="21" t="s">
        <v>2666</v>
      </c>
      <c r="O94" s="201" t="s">
        <v>1908</v>
      </c>
      <c r="P94" s="202" t="s">
        <v>2183</v>
      </c>
      <c r="Q94" s="19" t="s">
        <v>2174</v>
      </c>
      <c r="R94" s="19" t="s">
        <v>2175</v>
      </c>
      <c r="S94" s="19" t="s">
        <v>4052</v>
      </c>
      <c r="T94" s="21" t="s">
        <v>2173</v>
      </c>
    </row>
    <row r="95" spans="1:34" ht="12.9" customHeight="1" x14ac:dyDescent="0.2">
      <c r="A95" s="18" t="s">
        <v>169</v>
      </c>
      <c r="B95" s="18">
        <v>35</v>
      </c>
      <c r="C95" s="201" t="s">
        <v>156</v>
      </c>
      <c r="D95" s="201" t="s">
        <v>157</v>
      </c>
      <c r="E95" s="19" t="s">
        <v>3522</v>
      </c>
      <c r="F95" s="19" t="s">
        <v>796</v>
      </c>
      <c r="G95" s="19" t="s">
        <v>133</v>
      </c>
      <c r="H95" s="19" t="s">
        <v>2817</v>
      </c>
      <c r="I95" s="201" t="s">
        <v>2096</v>
      </c>
      <c r="J95" s="201" t="s">
        <v>1879</v>
      </c>
      <c r="K95" s="20" t="s">
        <v>1462</v>
      </c>
      <c r="L95" s="20" t="s">
        <v>2160</v>
      </c>
      <c r="M95" s="20" t="s">
        <v>1463</v>
      </c>
      <c r="N95" s="21" t="s">
        <v>690</v>
      </c>
      <c r="O95" s="201" t="s">
        <v>24</v>
      </c>
      <c r="P95" s="237" t="s">
        <v>3684</v>
      </c>
      <c r="Q95" s="23" t="s">
        <v>3552</v>
      </c>
      <c r="R95" s="20" t="s">
        <v>3553</v>
      </c>
      <c r="S95" s="20" t="s">
        <v>426</v>
      </c>
      <c r="T95" s="21" t="s">
        <v>3555</v>
      </c>
    </row>
    <row r="96" spans="1:34" ht="12.9" customHeight="1" x14ac:dyDescent="0.2">
      <c r="A96" s="18" t="s">
        <v>3278</v>
      </c>
      <c r="B96" s="18">
        <v>41</v>
      </c>
      <c r="C96" s="201" t="s">
        <v>3120</v>
      </c>
      <c r="D96" s="201" t="s">
        <v>3826</v>
      </c>
      <c r="E96" s="23" t="s">
        <v>2332</v>
      </c>
      <c r="F96" s="20" t="s">
        <v>807</v>
      </c>
      <c r="G96" s="20" t="s">
        <v>3083</v>
      </c>
      <c r="H96" s="21" t="s">
        <v>804</v>
      </c>
      <c r="I96" s="201" t="s">
        <v>3121</v>
      </c>
      <c r="J96" s="201" t="s">
        <v>645</v>
      </c>
      <c r="K96" s="23" t="s">
        <v>1301</v>
      </c>
      <c r="L96" s="20" t="s">
        <v>3576</v>
      </c>
      <c r="M96" s="20" t="s">
        <v>3511</v>
      </c>
      <c r="N96" s="21" t="s">
        <v>37</v>
      </c>
      <c r="O96" s="236"/>
      <c r="P96" s="237"/>
      <c r="Q96" s="23"/>
      <c r="R96" s="20"/>
      <c r="S96" s="20"/>
      <c r="T96" s="21"/>
    </row>
    <row r="97" spans="1:41" ht="12.9" customHeight="1" x14ac:dyDescent="0.2">
      <c r="A97" s="18" t="s">
        <v>3285</v>
      </c>
      <c r="B97" s="18">
        <v>31</v>
      </c>
      <c r="C97" s="201" t="s">
        <v>3279</v>
      </c>
      <c r="D97" s="201" t="s">
        <v>3280</v>
      </c>
      <c r="E97" s="19" t="s">
        <v>40</v>
      </c>
      <c r="F97" s="19" t="s">
        <v>2812</v>
      </c>
      <c r="G97" s="19" t="s">
        <v>2706</v>
      </c>
      <c r="H97" s="19" t="s">
        <v>2705</v>
      </c>
      <c r="I97" s="201" t="s">
        <v>1871</v>
      </c>
      <c r="J97" s="201" t="s">
        <v>2662</v>
      </c>
      <c r="K97" s="20" t="s">
        <v>3246</v>
      </c>
      <c r="L97" s="20" t="s">
        <v>2666</v>
      </c>
      <c r="M97" s="20" t="s">
        <v>2665</v>
      </c>
      <c r="N97" s="20" t="s">
        <v>3247</v>
      </c>
      <c r="O97" s="201" t="s">
        <v>3112</v>
      </c>
      <c r="P97" s="201" t="s">
        <v>2710</v>
      </c>
      <c r="Q97" s="20" t="s">
        <v>2417</v>
      </c>
      <c r="R97" s="20" t="s">
        <v>2456</v>
      </c>
      <c r="S97" s="20" t="s">
        <v>2462</v>
      </c>
      <c r="T97" s="3" t="s">
        <v>2457</v>
      </c>
    </row>
    <row r="98" spans="1:41" ht="12.9" customHeight="1" x14ac:dyDescent="0.2">
      <c r="A98" s="18" t="s">
        <v>1617</v>
      </c>
      <c r="B98" s="18">
        <v>30</v>
      </c>
      <c r="C98" s="201" t="s">
        <v>3286</v>
      </c>
      <c r="D98" s="201" t="s">
        <v>3287</v>
      </c>
      <c r="E98" s="19" t="s">
        <v>4063</v>
      </c>
      <c r="F98" s="19" t="s">
        <v>3288</v>
      </c>
      <c r="G98" s="19" t="s">
        <v>3289</v>
      </c>
      <c r="H98" s="19" t="s">
        <v>2725</v>
      </c>
      <c r="I98" s="200" t="s">
        <v>2244</v>
      </c>
      <c r="J98" s="201" t="s">
        <v>2662</v>
      </c>
      <c r="K98" s="20" t="s">
        <v>2941</v>
      </c>
      <c r="L98" s="2" t="s">
        <v>2944</v>
      </c>
      <c r="M98" s="2" t="s">
        <v>2943</v>
      </c>
      <c r="N98" s="2" t="s">
        <v>2942</v>
      </c>
      <c r="O98" s="201" t="s">
        <v>2243</v>
      </c>
      <c r="P98" s="201" t="s">
        <v>3417</v>
      </c>
      <c r="Q98" s="7" t="s">
        <v>3015</v>
      </c>
      <c r="R98" s="20" t="s">
        <v>3014</v>
      </c>
      <c r="S98" s="20" t="s">
        <v>658</v>
      </c>
      <c r="T98" s="3" t="s">
        <v>3418</v>
      </c>
    </row>
    <row r="99" spans="1:41" ht="12.9" customHeight="1" x14ac:dyDescent="0.2">
      <c r="A99" s="18" t="s">
        <v>1629</v>
      </c>
      <c r="B99" s="18">
        <v>38</v>
      </c>
      <c r="C99" s="201" t="s">
        <v>163</v>
      </c>
      <c r="D99" s="201" t="s">
        <v>164</v>
      </c>
      <c r="E99" s="19" t="s">
        <v>165</v>
      </c>
      <c r="F99" s="19" t="s">
        <v>166</v>
      </c>
      <c r="G99" s="19" t="s">
        <v>167</v>
      </c>
      <c r="H99" s="19" t="s">
        <v>168</v>
      </c>
      <c r="I99" s="201" t="s">
        <v>3098</v>
      </c>
      <c r="J99" s="201" t="s">
        <v>3842</v>
      </c>
      <c r="K99" s="20" t="s">
        <v>3843</v>
      </c>
      <c r="L99" s="20" t="s">
        <v>3844</v>
      </c>
      <c r="M99" s="20" t="s">
        <v>3845</v>
      </c>
      <c r="N99" s="21" t="s">
        <v>3368</v>
      </c>
      <c r="O99" s="201" t="s">
        <v>2614</v>
      </c>
      <c r="P99" s="201" t="s">
        <v>1838</v>
      </c>
      <c r="Q99" s="20" t="s">
        <v>1839</v>
      </c>
      <c r="R99" s="20" t="s">
        <v>430</v>
      </c>
      <c r="S99" s="20" t="s">
        <v>431</v>
      </c>
      <c r="T99" s="21" t="s">
        <v>432</v>
      </c>
      <c r="U99" s="240"/>
      <c r="V99" s="240"/>
      <c r="W99" s="20"/>
      <c r="X99" s="20"/>
      <c r="Y99" s="20"/>
      <c r="Z99" s="20"/>
      <c r="AA99" s="240"/>
      <c r="AB99" s="20"/>
      <c r="AC99" s="242"/>
      <c r="AD99" s="20"/>
      <c r="AE99" s="20"/>
      <c r="AF99" s="20"/>
    </row>
    <row r="100" spans="1:41" ht="12.9" customHeight="1" x14ac:dyDescent="0.2">
      <c r="A100" s="18" t="s">
        <v>1641</v>
      </c>
      <c r="B100" s="18">
        <v>28</v>
      </c>
      <c r="C100" s="201" t="s">
        <v>3101</v>
      </c>
      <c r="D100" s="201" t="s">
        <v>579</v>
      </c>
      <c r="E100" s="19" t="s">
        <v>822</v>
      </c>
      <c r="F100" s="19" t="s">
        <v>823</v>
      </c>
      <c r="G100" s="19" t="s">
        <v>1830</v>
      </c>
      <c r="H100" s="21" t="s">
        <v>427</v>
      </c>
      <c r="I100" s="200" t="s">
        <v>2348</v>
      </c>
      <c r="J100" s="199" t="s">
        <v>148</v>
      </c>
      <c r="K100" s="10" t="s">
        <v>2349</v>
      </c>
      <c r="L100" s="8" t="s">
        <v>2350</v>
      </c>
      <c r="M100" s="8" t="s">
        <v>2351</v>
      </c>
      <c r="N100" s="6" t="s">
        <v>2536</v>
      </c>
      <c r="O100" s="236"/>
      <c r="P100" s="237"/>
      <c r="Q100" s="20"/>
      <c r="R100" s="20"/>
      <c r="S100" s="20"/>
      <c r="T100" s="21"/>
    </row>
    <row r="101" spans="1:41" ht="12.9" customHeight="1" x14ac:dyDescent="0.2">
      <c r="A101" s="18" t="s">
        <v>3691</v>
      </c>
      <c r="B101" s="18">
        <v>30</v>
      </c>
      <c r="C101" s="201" t="s">
        <v>3301</v>
      </c>
      <c r="D101" s="201" t="s">
        <v>3943</v>
      </c>
      <c r="E101" s="20" t="s">
        <v>3846</v>
      </c>
      <c r="F101" s="20" t="s">
        <v>184</v>
      </c>
      <c r="G101" s="20" t="s">
        <v>3368</v>
      </c>
      <c r="H101" s="3" t="s">
        <v>185</v>
      </c>
      <c r="I101" s="201" t="s">
        <v>3302</v>
      </c>
      <c r="J101" s="201" t="s">
        <v>1973</v>
      </c>
      <c r="K101" s="23" t="s">
        <v>1785</v>
      </c>
      <c r="L101" s="20" t="s">
        <v>1788</v>
      </c>
      <c r="M101" s="20" t="s">
        <v>2939</v>
      </c>
      <c r="N101" s="21" t="s">
        <v>1258</v>
      </c>
      <c r="O101" s="236"/>
      <c r="P101" s="237"/>
      <c r="Q101" s="20"/>
      <c r="R101" s="20"/>
      <c r="S101" s="20"/>
      <c r="T101" s="21"/>
    </row>
    <row r="102" spans="1:41" ht="12.9" customHeight="1" x14ac:dyDescent="0.2">
      <c r="A102" s="18" t="s">
        <v>2747</v>
      </c>
      <c r="B102" s="18">
        <v>24</v>
      </c>
      <c r="C102" s="201" t="s">
        <v>3304</v>
      </c>
      <c r="D102" s="201" t="s">
        <v>2668</v>
      </c>
      <c r="E102" s="19" t="s">
        <v>2672</v>
      </c>
      <c r="F102" s="19" t="s">
        <v>3472</v>
      </c>
      <c r="G102" s="19" t="s">
        <v>3345</v>
      </c>
      <c r="H102" s="19" t="s">
        <v>3346</v>
      </c>
      <c r="I102" s="236" t="s">
        <v>867</v>
      </c>
      <c r="J102" s="237" t="s">
        <v>4079</v>
      </c>
      <c r="K102" s="23" t="s">
        <v>165</v>
      </c>
      <c r="L102" s="20" t="s">
        <v>558</v>
      </c>
      <c r="M102" s="20" t="s">
        <v>167</v>
      </c>
      <c r="N102" s="21" t="s">
        <v>168</v>
      </c>
      <c r="O102" s="236"/>
      <c r="P102" s="237"/>
      <c r="Q102" s="248"/>
      <c r="R102" s="2"/>
      <c r="S102" s="2"/>
      <c r="T102" s="3"/>
      <c r="U102" s="2"/>
      <c r="V102" s="247"/>
    </row>
    <row r="103" spans="1:41" ht="12.9" customHeight="1" x14ac:dyDescent="0.2">
      <c r="A103" s="18" t="s">
        <v>2757</v>
      </c>
      <c r="B103" s="18">
        <v>23</v>
      </c>
      <c r="C103" s="201" t="s">
        <v>2619</v>
      </c>
      <c r="D103" s="201" t="s">
        <v>1418</v>
      </c>
      <c r="E103" s="23" t="s">
        <v>2265</v>
      </c>
      <c r="F103" s="20" t="s">
        <v>1419</v>
      </c>
      <c r="G103" s="20" t="s">
        <v>2940</v>
      </c>
      <c r="H103" s="21" t="s">
        <v>3882</v>
      </c>
      <c r="I103" s="201" t="s">
        <v>3583</v>
      </c>
      <c r="J103" s="201" t="s">
        <v>3826</v>
      </c>
      <c r="K103" s="23" t="s">
        <v>1259</v>
      </c>
      <c r="L103" s="20" t="s">
        <v>1260</v>
      </c>
      <c r="M103" s="2" t="s">
        <v>1261</v>
      </c>
      <c r="N103" s="21" t="s">
        <v>1262</v>
      </c>
      <c r="O103" s="236"/>
      <c r="P103" s="237"/>
      <c r="Q103" s="23"/>
      <c r="R103" s="20"/>
      <c r="S103" s="20"/>
      <c r="T103" s="21"/>
      <c r="V103" s="247"/>
    </row>
    <row r="104" spans="1:41" ht="12.9" customHeight="1" x14ac:dyDescent="0.2">
      <c r="A104" s="18" t="s">
        <v>438</v>
      </c>
      <c r="B104" s="18">
        <v>23</v>
      </c>
      <c r="C104" s="201" t="s">
        <v>1309</v>
      </c>
      <c r="D104" s="201" t="s">
        <v>1310</v>
      </c>
      <c r="E104" s="19" t="s">
        <v>1311</v>
      </c>
      <c r="F104" s="19" t="s">
        <v>1312</v>
      </c>
      <c r="G104" s="19" t="s">
        <v>1313</v>
      </c>
      <c r="H104" s="19" t="s">
        <v>2746</v>
      </c>
      <c r="I104" s="201" t="s">
        <v>3311</v>
      </c>
      <c r="J104" s="201" t="s">
        <v>1973</v>
      </c>
      <c r="K104" s="23" t="s">
        <v>1785</v>
      </c>
      <c r="L104" s="20" t="s">
        <v>1788</v>
      </c>
      <c r="M104" s="20" t="s">
        <v>2939</v>
      </c>
      <c r="N104" s="21" t="s">
        <v>1258</v>
      </c>
      <c r="O104" s="236"/>
      <c r="P104" s="237"/>
      <c r="Q104" s="23"/>
      <c r="R104" s="20"/>
      <c r="S104" s="20"/>
      <c r="T104" s="21"/>
    </row>
    <row r="105" spans="1:41" ht="12.9" customHeight="1" x14ac:dyDescent="0.2">
      <c r="A105" s="25">
        <v>2005</v>
      </c>
      <c r="B105" s="25">
        <v>29</v>
      </c>
      <c r="C105" s="201" t="s">
        <v>2752</v>
      </c>
      <c r="D105" s="201" t="s">
        <v>2753</v>
      </c>
      <c r="E105" s="20" t="s">
        <v>439</v>
      </c>
      <c r="F105" s="20" t="s">
        <v>2817</v>
      </c>
      <c r="G105" s="20" t="s">
        <v>440</v>
      </c>
      <c r="H105" s="21" t="s">
        <v>2818</v>
      </c>
      <c r="I105" s="246"/>
      <c r="J105" s="250"/>
      <c r="K105" s="27"/>
      <c r="L105" s="27"/>
      <c r="M105" s="27"/>
      <c r="N105" s="28"/>
      <c r="O105" s="240"/>
      <c r="P105" s="237"/>
      <c r="Q105" s="2"/>
      <c r="R105" s="2"/>
      <c r="S105" s="2"/>
      <c r="T105" s="3"/>
    </row>
    <row r="106" spans="1:41" ht="12.9" customHeight="1" x14ac:dyDescent="0.2">
      <c r="A106" s="23">
        <v>2006</v>
      </c>
      <c r="B106" s="23">
        <v>27</v>
      </c>
      <c r="C106" s="202" t="s">
        <v>1554</v>
      </c>
      <c r="D106" s="237" t="s">
        <v>414</v>
      </c>
      <c r="E106" s="2" t="s">
        <v>415</v>
      </c>
      <c r="F106" s="2" t="s">
        <v>416</v>
      </c>
      <c r="G106" s="2" t="s">
        <v>417</v>
      </c>
      <c r="H106" s="3" t="s">
        <v>418</v>
      </c>
      <c r="I106" s="201" t="s">
        <v>2348</v>
      </c>
      <c r="J106" s="199" t="s">
        <v>3944</v>
      </c>
      <c r="K106" s="10" t="s">
        <v>2349</v>
      </c>
      <c r="L106" s="8" t="s">
        <v>2350</v>
      </c>
      <c r="M106" s="8" t="s">
        <v>2351</v>
      </c>
      <c r="N106" s="8" t="s">
        <v>2536</v>
      </c>
      <c r="O106" s="236"/>
      <c r="P106" s="250"/>
      <c r="Q106" s="27"/>
      <c r="R106" s="27"/>
      <c r="S106" s="27"/>
      <c r="T106" s="28"/>
    </row>
    <row r="107" spans="1:41" s="26" customFormat="1" ht="12.9" customHeight="1" x14ac:dyDescent="0.2">
      <c r="A107" s="24">
        <v>2007</v>
      </c>
      <c r="B107" s="24">
        <v>28</v>
      </c>
      <c r="C107" s="197" t="s">
        <v>1560</v>
      </c>
      <c r="D107" s="197" t="s">
        <v>3292</v>
      </c>
      <c r="E107" s="419" t="s">
        <v>3965</v>
      </c>
      <c r="F107" s="419" t="s">
        <v>3660</v>
      </c>
      <c r="G107" s="419" t="s">
        <v>2940</v>
      </c>
      <c r="H107" s="479" t="s">
        <v>178</v>
      </c>
      <c r="I107" s="201" t="s">
        <v>1559</v>
      </c>
      <c r="J107" s="201" t="s">
        <v>3961</v>
      </c>
      <c r="K107" s="7" t="s">
        <v>2658</v>
      </c>
      <c r="L107" s="2" t="s">
        <v>3962</v>
      </c>
      <c r="M107" s="2" t="s">
        <v>3963</v>
      </c>
      <c r="N107" s="3" t="s">
        <v>3964</v>
      </c>
      <c r="O107" s="237"/>
      <c r="P107" s="241"/>
      <c r="Q107" s="242"/>
      <c r="R107" s="242"/>
      <c r="S107" s="242"/>
      <c r="T107" s="235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</row>
    <row r="108" spans="1:41" s="26" customFormat="1" ht="12.9" customHeight="1" x14ac:dyDescent="0.2">
      <c r="A108" s="24">
        <v>2008</v>
      </c>
      <c r="B108" s="24">
        <v>33</v>
      </c>
      <c r="C108" s="237"/>
      <c r="D108" s="237"/>
      <c r="E108" s="7"/>
      <c r="F108" s="2"/>
      <c r="G108" s="2"/>
      <c r="H108" s="3"/>
      <c r="I108" s="203" t="s">
        <v>3592</v>
      </c>
      <c r="J108" s="201" t="s">
        <v>2728</v>
      </c>
      <c r="K108" s="20" t="s">
        <v>2793</v>
      </c>
      <c r="L108" s="20" t="s">
        <v>2729</v>
      </c>
      <c r="M108" s="20" t="s">
        <v>2730</v>
      </c>
      <c r="N108" s="3" t="s">
        <v>2731</v>
      </c>
      <c r="O108" s="237"/>
      <c r="P108" s="250"/>
      <c r="Q108" s="27"/>
      <c r="R108" s="27"/>
      <c r="S108" s="27"/>
      <c r="T108" s="28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</row>
    <row r="109" spans="1:41" s="26" customFormat="1" ht="12.9" customHeight="1" x14ac:dyDescent="0.2">
      <c r="A109" s="24">
        <v>2009</v>
      </c>
      <c r="B109" s="24">
        <v>39</v>
      </c>
      <c r="C109" s="201" t="s">
        <v>1566</v>
      </c>
      <c r="D109" s="197" t="s">
        <v>3292</v>
      </c>
      <c r="E109" s="7" t="s">
        <v>3965</v>
      </c>
      <c r="F109" s="2" t="s">
        <v>3966</v>
      </c>
      <c r="G109" s="2" t="s">
        <v>3967</v>
      </c>
      <c r="H109" s="3" t="s">
        <v>178</v>
      </c>
      <c r="I109" s="201" t="s">
        <v>2525</v>
      </c>
      <c r="J109" s="201" t="s">
        <v>2526</v>
      </c>
      <c r="K109" s="2" t="s">
        <v>3972</v>
      </c>
      <c r="L109" s="2" t="s">
        <v>2528</v>
      </c>
      <c r="M109" s="2" t="s">
        <v>2530</v>
      </c>
      <c r="N109" s="3" t="s">
        <v>3911</v>
      </c>
      <c r="O109" s="237"/>
      <c r="P109" s="250"/>
      <c r="Q109" s="27"/>
      <c r="R109" s="27"/>
      <c r="S109" s="27"/>
      <c r="T109" s="28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</row>
    <row r="110" spans="1:41" s="26" customFormat="1" ht="12.9" customHeight="1" x14ac:dyDescent="0.2">
      <c r="A110" s="505">
        <v>2010</v>
      </c>
      <c r="B110" s="505">
        <v>42</v>
      </c>
      <c r="C110" s="201" t="s">
        <v>1589</v>
      </c>
      <c r="D110" s="197" t="s">
        <v>1503</v>
      </c>
      <c r="E110" s="2" t="s">
        <v>1504</v>
      </c>
      <c r="F110" s="2" t="s">
        <v>3557</v>
      </c>
      <c r="G110" s="2" t="s">
        <v>3083</v>
      </c>
      <c r="H110" s="3" t="s">
        <v>1505</v>
      </c>
      <c r="I110" s="240" t="s">
        <v>962</v>
      </c>
      <c r="J110" s="237"/>
      <c r="K110" s="2"/>
      <c r="L110" s="2"/>
      <c r="M110" s="2"/>
      <c r="N110" s="2"/>
      <c r="O110" s="237"/>
      <c r="P110" s="250"/>
      <c r="Q110" s="27"/>
      <c r="R110" s="27"/>
      <c r="S110" s="27"/>
      <c r="T110" s="28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</row>
    <row r="111" spans="1:41" s="26" customFormat="1" ht="12.9" customHeight="1" x14ac:dyDescent="0.2">
      <c r="A111" s="505">
        <v>2011</v>
      </c>
      <c r="B111" s="505">
        <v>41</v>
      </c>
      <c r="C111" s="201" t="s">
        <v>1604</v>
      </c>
      <c r="D111" s="197" t="s">
        <v>1248</v>
      </c>
      <c r="E111" s="2" t="s">
        <v>2328</v>
      </c>
      <c r="F111" s="2" t="s">
        <v>446</v>
      </c>
      <c r="G111" s="2" t="s">
        <v>4053</v>
      </c>
      <c r="H111" s="3" t="s">
        <v>1249</v>
      </c>
      <c r="I111" s="201" t="s">
        <v>1573</v>
      </c>
      <c r="J111" s="201" t="s">
        <v>817</v>
      </c>
      <c r="K111" s="2" t="s">
        <v>505</v>
      </c>
      <c r="L111" s="2" t="s">
        <v>3971</v>
      </c>
      <c r="M111" s="2" t="s">
        <v>1281</v>
      </c>
      <c r="N111" s="2" t="s">
        <v>1283</v>
      </c>
      <c r="O111" s="237"/>
      <c r="P111" s="250"/>
      <c r="Q111" s="27"/>
      <c r="R111" s="27"/>
      <c r="S111" s="27"/>
      <c r="T111" s="28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</row>
    <row r="112" spans="1:41" s="26" customFormat="1" ht="12.9" customHeight="1" x14ac:dyDescent="0.2">
      <c r="A112" s="505">
        <v>2012</v>
      </c>
      <c r="B112" s="505">
        <v>44</v>
      </c>
      <c r="C112" s="201" t="s">
        <v>3999</v>
      </c>
      <c r="D112" s="202" t="s">
        <v>649</v>
      </c>
      <c r="E112" s="20" t="s">
        <v>3527</v>
      </c>
      <c r="F112" s="20" t="s">
        <v>650</v>
      </c>
      <c r="G112" s="20" t="s">
        <v>1261</v>
      </c>
      <c r="H112" s="3" t="s">
        <v>651</v>
      </c>
      <c r="I112" s="201" t="s">
        <v>3599</v>
      </c>
      <c r="J112" s="201" t="s">
        <v>2668</v>
      </c>
      <c r="K112" s="7" t="s">
        <v>3080</v>
      </c>
      <c r="L112" s="2" t="s">
        <v>3081</v>
      </c>
      <c r="M112" s="2" t="s">
        <v>3602</v>
      </c>
      <c r="N112" s="3" t="s">
        <v>1247</v>
      </c>
      <c r="O112" s="237"/>
      <c r="P112" s="250"/>
      <c r="Q112" s="27"/>
      <c r="R112" s="27"/>
      <c r="S112" s="27"/>
      <c r="T112" s="28"/>
      <c r="V112" s="247"/>
      <c r="W112" s="247"/>
      <c r="X112" s="247"/>
      <c r="Y112" s="247"/>
      <c r="Z112" s="247"/>
      <c r="AA112" s="247"/>
      <c r="AB112" s="247"/>
      <c r="AC112" s="247"/>
      <c r="AD112" s="247"/>
      <c r="AE112" s="247"/>
      <c r="AF112" s="247"/>
      <c r="AG112" s="247"/>
      <c r="AH112" s="247"/>
      <c r="AI112" s="247"/>
      <c r="AJ112" s="247"/>
      <c r="AK112" s="247"/>
      <c r="AL112" s="247"/>
      <c r="AM112" s="247"/>
      <c r="AN112" s="247"/>
      <c r="AO112" s="247"/>
    </row>
    <row r="113" spans="1:41" s="26" customFormat="1" ht="12.9" customHeight="1" x14ac:dyDescent="0.2">
      <c r="A113" s="505">
        <v>2013</v>
      </c>
      <c r="B113" s="505">
        <v>38</v>
      </c>
      <c r="C113" s="197" t="s">
        <v>53</v>
      </c>
      <c r="D113" s="197" t="s">
        <v>314</v>
      </c>
      <c r="E113" s="2" t="s">
        <v>54</v>
      </c>
      <c r="F113" s="2" t="s">
        <v>2136</v>
      </c>
      <c r="G113" s="2" t="s">
        <v>1421</v>
      </c>
      <c r="H113" s="2" t="s">
        <v>3041</v>
      </c>
      <c r="I113" s="197" t="s">
        <v>52</v>
      </c>
      <c r="J113" s="197" t="s">
        <v>730</v>
      </c>
      <c r="K113" s="2" t="s">
        <v>2835</v>
      </c>
      <c r="L113" s="2" t="s">
        <v>2836</v>
      </c>
      <c r="M113" s="2" t="s">
        <v>417</v>
      </c>
      <c r="N113" s="3" t="s">
        <v>418</v>
      </c>
      <c r="O113" s="237"/>
      <c r="P113" s="250"/>
      <c r="Q113" s="27"/>
      <c r="R113" s="27"/>
      <c r="S113" s="27"/>
      <c r="T113" s="28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</row>
    <row r="114" spans="1:41" s="26" customFormat="1" ht="12.9" customHeight="1" x14ac:dyDescent="0.2">
      <c r="A114" s="505">
        <v>2014</v>
      </c>
      <c r="B114" s="505">
        <v>42</v>
      </c>
      <c r="C114" s="197" t="s">
        <v>1550</v>
      </c>
      <c r="D114" s="197" t="s">
        <v>904</v>
      </c>
      <c r="E114" s="2" t="s">
        <v>597</v>
      </c>
      <c r="F114" s="2" t="s">
        <v>1411</v>
      </c>
      <c r="G114" s="2" t="s">
        <v>2830</v>
      </c>
      <c r="H114" s="3" t="s">
        <v>2970</v>
      </c>
      <c r="I114" s="197" t="s">
        <v>1603</v>
      </c>
      <c r="J114" s="197" t="s">
        <v>3357</v>
      </c>
      <c r="K114" s="2" t="s">
        <v>3360</v>
      </c>
      <c r="L114" s="2" t="s">
        <v>1220</v>
      </c>
      <c r="M114" s="2" t="s">
        <v>2508</v>
      </c>
      <c r="N114" s="2" t="s">
        <v>1222</v>
      </c>
      <c r="O114" s="237"/>
      <c r="P114" s="250"/>
      <c r="Q114" s="27"/>
      <c r="R114" s="27"/>
      <c r="S114" s="27"/>
      <c r="T114" s="28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</row>
    <row r="115" spans="1:41" s="26" customFormat="1" ht="12.9" customHeight="1" x14ac:dyDescent="0.2">
      <c r="A115" s="505">
        <v>2015</v>
      </c>
      <c r="B115" s="505">
        <v>48</v>
      </c>
      <c r="C115" s="201" t="s">
        <v>2867</v>
      </c>
      <c r="D115" s="197" t="s">
        <v>1310</v>
      </c>
      <c r="E115" s="20" t="s">
        <v>1091</v>
      </c>
      <c r="F115" s="20" t="s">
        <v>4892</v>
      </c>
      <c r="G115" s="20" t="s">
        <v>1424</v>
      </c>
      <c r="H115" s="3" t="s">
        <v>2904</v>
      </c>
      <c r="I115" s="201" t="s">
        <v>4891</v>
      </c>
      <c r="J115" s="197" t="s">
        <v>4079</v>
      </c>
      <c r="K115" s="7" t="s">
        <v>2930</v>
      </c>
      <c r="L115" s="2" t="s">
        <v>1969</v>
      </c>
      <c r="M115" s="2" t="s">
        <v>3555</v>
      </c>
      <c r="N115" s="3" t="s">
        <v>2932</v>
      </c>
      <c r="O115" s="237"/>
      <c r="P115" s="250"/>
      <c r="Q115" s="27"/>
      <c r="R115" s="27"/>
      <c r="S115" s="27"/>
      <c r="T115" s="28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</row>
    <row r="116" spans="1:41" s="26" customFormat="1" ht="12.9" customHeight="1" x14ac:dyDescent="0.2">
      <c r="A116" s="505">
        <v>2016</v>
      </c>
      <c r="B116" s="505">
        <v>29</v>
      </c>
      <c r="C116" s="197" t="s">
        <v>1110</v>
      </c>
      <c r="D116" s="197" t="s">
        <v>1111</v>
      </c>
      <c r="E116" s="2" t="s">
        <v>2930</v>
      </c>
      <c r="F116" s="2" t="s">
        <v>3984</v>
      </c>
      <c r="G116" s="2" t="s">
        <v>1098</v>
      </c>
      <c r="H116" s="2" t="s">
        <v>2932</v>
      </c>
      <c r="I116" s="201"/>
      <c r="J116" s="201"/>
      <c r="K116" s="7"/>
      <c r="L116" s="2"/>
      <c r="M116" s="2"/>
      <c r="N116" s="3"/>
      <c r="O116" s="237"/>
      <c r="P116" s="250"/>
      <c r="Q116" s="27"/>
      <c r="R116" s="27"/>
      <c r="S116" s="27"/>
      <c r="T116" s="28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</row>
    <row r="117" spans="1:41" s="26" customFormat="1" ht="12.9" customHeight="1" x14ac:dyDescent="0.2">
      <c r="A117" s="505">
        <v>2017</v>
      </c>
      <c r="B117" s="505">
        <v>38</v>
      </c>
      <c r="C117" s="197" t="s">
        <v>4518</v>
      </c>
      <c r="D117" s="261" t="s">
        <v>4079</v>
      </c>
      <c r="E117" s="27" t="s">
        <v>2835</v>
      </c>
      <c r="F117" s="27" t="s">
        <v>3081</v>
      </c>
      <c r="G117" s="27" t="s">
        <v>417</v>
      </c>
      <c r="H117" s="28" t="s">
        <v>418</v>
      </c>
      <c r="I117" s="197" t="s">
        <v>4518</v>
      </c>
      <c r="J117" s="261" t="s">
        <v>4079</v>
      </c>
      <c r="K117" s="27" t="s">
        <v>2835</v>
      </c>
      <c r="L117" s="27" t="s">
        <v>3081</v>
      </c>
      <c r="M117" s="27" t="s">
        <v>417</v>
      </c>
      <c r="N117" s="28" t="s">
        <v>418</v>
      </c>
      <c r="O117" s="237"/>
      <c r="P117" s="250"/>
      <c r="Q117" s="27"/>
      <c r="R117" s="27"/>
      <c r="S117" s="27"/>
      <c r="T117" s="28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</row>
    <row r="118" spans="1:41" s="26" customFormat="1" ht="12.9" customHeight="1" x14ac:dyDescent="0.2">
      <c r="A118" s="505">
        <v>2018</v>
      </c>
      <c r="B118" s="505">
        <v>31</v>
      </c>
      <c r="C118" s="197" t="s">
        <v>4518</v>
      </c>
      <c r="D118" s="261" t="s">
        <v>4079</v>
      </c>
      <c r="E118" s="27" t="s">
        <v>2835</v>
      </c>
      <c r="F118" s="27" t="s">
        <v>3081</v>
      </c>
      <c r="G118" s="27" t="s">
        <v>417</v>
      </c>
      <c r="H118" s="28" t="s">
        <v>418</v>
      </c>
      <c r="I118" s="201"/>
      <c r="J118" s="201"/>
      <c r="K118" s="7"/>
      <c r="L118" s="2"/>
      <c r="M118" s="2"/>
      <c r="N118" s="3"/>
      <c r="O118" s="237"/>
      <c r="P118" s="250"/>
      <c r="Q118" s="27"/>
      <c r="R118" s="27"/>
      <c r="S118" s="27"/>
      <c r="T118" s="28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</row>
    <row r="119" spans="1:41" s="26" customFormat="1" ht="12.9" customHeight="1" x14ac:dyDescent="0.2">
      <c r="A119" s="505">
        <v>2019</v>
      </c>
      <c r="B119" s="505">
        <v>36</v>
      </c>
      <c r="C119" s="197" t="s">
        <v>4681</v>
      </c>
      <c r="D119" s="261" t="s">
        <v>4489</v>
      </c>
      <c r="E119" s="27" t="s">
        <v>4682</v>
      </c>
      <c r="F119" s="27" t="s">
        <v>4332</v>
      </c>
      <c r="G119" s="27" t="s">
        <v>4683</v>
      </c>
      <c r="H119" s="28" t="s">
        <v>4014</v>
      </c>
      <c r="I119" s="201"/>
      <c r="J119" s="201"/>
      <c r="K119" s="7"/>
      <c r="L119" s="2"/>
      <c r="M119" s="2"/>
      <c r="N119" s="3"/>
      <c r="O119" s="237"/>
      <c r="P119" s="250"/>
      <c r="Q119" s="27"/>
      <c r="R119" s="27"/>
      <c r="S119" s="27"/>
      <c r="T119" s="28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</row>
    <row r="120" spans="1:41" s="26" customFormat="1" ht="12.9" customHeight="1" x14ac:dyDescent="0.2">
      <c r="A120" s="14"/>
      <c r="B120" s="14"/>
      <c r="C120" s="251"/>
      <c r="D120" s="252"/>
      <c r="E120" s="4"/>
      <c r="F120" s="4"/>
      <c r="G120" s="4"/>
      <c r="H120" s="5"/>
      <c r="I120" s="251"/>
      <c r="J120" s="253"/>
      <c r="K120" s="4"/>
      <c r="L120" s="4"/>
      <c r="M120" s="4"/>
      <c r="N120" s="4"/>
      <c r="O120" s="252"/>
      <c r="P120" s="254"/>
      <c r="Q120" s="255"/>
      <c r="R120" s="255"/>
      <c r="S120" s="255"/>
      <c r="T120" s="256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</row>
  </sheetData>
  <mergeCells count="8">
    <mergeCell ref="A1:T1"/>
    <mergeCell ref="A70:T70"/>
    <mergeCell ref="C71:H71"/>
    <mergeCell ref="I71:N71"/>
    <mergeCell ref="O71:T71"/>
    <mergeCell ref="C2:H2"/>
    <mergeCell ref="I2:N2"/>
    <mergeCell ref="O2:T2"/>
  </mergeCells>
  <phoneticPr fontId="0" type="noConversion"/>
  <printOptions horizontalCentered="1"/>
  <pageMargins left="0" right="0" top="0.59055118110236227" bottom="0" header="0" footer="0"/>
  <pageSetup paperSize="9" scale="66" fitToHeight="2" orientation="landscape" r:id="rId1"/>
  <headerFooter alignWithMargins="0">
    <oddHeader>&amp;L&amp;"Arial Black,Bold"&amp;14BABS Quartet Mic Warmers over the years&amp;R&amp;"Arial Black,Regular"&amp;8Updated on :-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8"/>
  <sheetViews>
    <sheetView zoomScale="70" zoomScaleNormal="70" workbookViewId="0">
      <selection activeCell="A73" sqref="A73"/>
    </sheetView>
  </sheetViews>
  <sheetFormatPr defaultColWidth="9" defaultRowHeight="18" customHeight="1" x14ac:dyDescent="0.2"/>
  <cols>
    <col min="1" max="1" width="6" style="289" customWidth="1"/>
    <col min="2" max="2" width="38.44140625" style="285" customWidth="1"/>
    <col min="3" max="3" width="9.6640625" style="289" customWidth="1"/>
    <col min="4" max="4" width="4.33203125" style="289" customWidth="1"/>
    <col min="5" max="5" width="62.21875" style="285" customWidth="1"/>
    <col min="6" max="6" width="10.21875" style="289" customWidth="1"/>
    <col min="7" max="7" width="4.21875" style="289" customWidth="1"/>
    <col min="8" max="8" width="59.44140625" style="285" customWidth="1"/>
    <col min="9" max="9" width="10.109375" style="289" customWidth="1"/>
    <col min="10" max="10" width="5.44140625" style="289" customWidth="1"/>
    <col min="11" max="11" width="1.44140625" style="285" customWidth="1"/>
    <col min="12" max="12" width="11.109375" style="285" customWidth="1"/>
    <col min="13" max="13" width="8.44140625" style="285" customWidth="1"/>
    <col min="14" max="14" width="7.44140625" style="285" customWidth="1"/>
    <col min="15" max="16384" width="9" style="285"/>
  </cols>
  <sheetData>
    <row r="1" spans="1:14" ht="18" customHeight="1" x14ac:dyDescent="0.2">
      <c r="A1" s="688" t="s">
        <v>2449</v>
      </c>
      <c r="B1" s="688"/>
      <c r="C1" s="688"/>
      <c r="D1" s="688"/>
      <c r="E1" s="688"/>
      <c r="F1" s="688"/>
      <c r="G1" s="688"/>
      <c r="H1" s="688"/>
      <c r="I1" s="688"/>
      <c r="J1" s="688"/>
    </row>
    <row r="3" spans="1:14" ht="18" customHeight="1" x14ac:dyDescent="0.2">
      <c r="B3" s="689" t="s">
        <v>2013</v>
      </c>
      <c r="C3" s="689"/>
      <c r="D3" s="689"/>
      <c r="E3" s="689" t="s">
        <v>2014</v>
      </c>
      <c r="F3" s="689"/>
      <c r="G3" s="689"/>
      <c r="H3" s="689" t="s">
        <v>2015</v>
      </c>
      <c r="I3" s="689"/>
      <c r="J3" s="689"/>
      <c r="L3" s="423" t="s">
        <v>2114</v>
      </c>
      <c r="M3" s="423" t="s">
        <v>2115</v>
      </c>
      <c r="N3" s="423" t="s">
        <v>3904</v>
      </c>
    </row>
    <row r="4" spans="1:14" ht="18" customHeight="1" x14ac:dyDescent="0.2">
      <c r="B4" s="293" t="s">
        <v>3719</v>
      </c>
      <c r="C4" s="293" t="s">
        <v>2989</v>
      </c>
      <c r="D4" s="293" t="s">
        <v>320</v>
      </c>
      <c r="E4" s="293" t="s">
        <v>3719</v>
      </c>
      <c r="F4" s="293" t="s">
        <v>2989</v>
      </c>
      <c r="G4" s="293" t="s">
        <v>320</v>
      </c>
      <c r="H4" s="293" t="s">
        <v>3719</v>
      </c>
      <c r="I4" s="293" t="s">
        <v>2989</v>
      </c>
      <c r="J4" s="293" t="s">
        <v>320</v>
      </c>
      <c r="L4" s="424" t="s">
        <v>2113</v>
      </c>
      <c r="M4" s="424" t="s">
        <v>2116</v>
      </c>
      <c r="N4" s="424" t="s">
        <v>312</v>
      </c>
    </row>
    <row r="5" spans="1:14" s="294" customFormat="1" ht="18" customHeight="1" x14ac:dyDescent="0.2">
      <c r="A5" s="290">
        <v>1974</v>
      </c>
      <c r="B5" s="685" t="s">
        <v>321</v>
      </c>
      <c r="C5" s="686"/>
      <c r="D5" s="686"/>
      <c r="E5" s="686"/>
      <c r="F5" s="686"/>
      <c r="G5" s="686"/>
      <c r="H5" s="686"/>
      <c r="I5" s="686"/>
      <c r="J5" s="687"/>
      <c r="L5" s="346"/>
      <c r="M5" s="346"/>
      <c r="N5" s="346"/>
    </row>
    <row r="6" spans="1:14" s="294" customFormat="1" ht="18" customHeight="1" x14ac:dyDescent="0.2">
      <c r="A6" s="291">
        <v>1975</v>
      </c>
      <c r="B6" s="295" t="s">
        <v>3720</v>
      </c>
      <c r="C6" s="296">
        <v>1540</v>
      </c>
      <c r="D6" s="297">
        <v>75</v>
      </c>
      <c r="E6" s="295" t="s">
        <v>2000</v>
      </c>
      <c r="F6" s="296">
        <v>1404</v>
      </c>
      <c r="G6" s="297">
        <v>81</v>
      </c>
      <c r="H6" s="295" t="s">
        <v>1932</v>
      </c>
      <c r="I6" s="296">
        <v>1382</v>
      </c>
      <c r="J6" s="297">
        <v>28</v>
      </c>
      <c r="L6" s="346">
        <f>+'Other Chorus Results'!ED6</f>
        <v>184</v>
      </c>
      <c r="M6" s="346">
        <v>15</v>
      </c>
      <c r="N6" s="346">
        <f>+'Other Chorus Results'!EE6</f>
        <v>61</v>
      </c>
    </row>
    <row r="7" spans="1:14" s="294" customFormat="1" ht="18" customHeight="1" x14ac:dyDescent="0.2">
      <c r="A7" s="291">
        <v>1976</v>
      </c>
      <c r="B7" s="300" t="s">
        <v>3721</v>
      </c>
      <c r="C7" s="301">
        <v>2449</v>
      </c>
      <c r="D7" s="302"/>
      <c r="E7" s="300" t="s">
        <v>3722</v>
      </c>
      <c r="F7" s="301">
        <v>2442</v>
      </c>
      <c r="G7" s="302">
        <v>42</v>
      </c>
      <c r="H7" s="300" t="s">
        <v>3723</v>
      </c>
      <c r="I7" s="301">
        <v>2287</v>
      </c>
      <c r="J7" s="302"/>
      <c r="L7" s="346">
        <f>+'Other Chorus Results'!ED7</f>
        <v>42</v>
      </c>
      <c r="M7" s="346">
        <v>14</v>
      </c>
      <c r="N7" s="346">
        <f>+'Other Chorus Results'!EE7</f>
        <v>42</v>
      </c>
    </row>
    <row r="8" spans="1:14" s="294" customFormat="1" ht="18" customHeight="1" x14ac:dyDescent="0.2">
      <c r="A8" s="288">
        <v>1977</v>
      </c>
      <c r="B8" s="306" t="s">
        <v>3722</v>
      </c>
      <c r="C8" s="304">
        <v>1577</v>
      </c>
      <c r="D8" s="305">
        <v>42</v>
      </c>
      <c r="E8" s="300" t="s">
        <v>2379</v>
      </c>
      <c r="F8" s="301">
        <v>1438</v>
      </c>
      <c r="G8" s="302">
        <v>29</v>
      </c>
      <c r="H8" s="300" t="s">
        <v>3724</v>
      </c>
      <c r="I8" s="301">
        <v>1397</v>
      </c>
      <c r="J8" s="302">
        <v>30</v>
      </c>
      <c r="L8" s="346">
        <f>+'Other Chorus Results'!ED8</f>
        <v>101</v>
      </c>
      <c r="M8" s="346">
        <v>19</v>
      </c>
      <c r="N8" s="346">
        <f>+'Other Chorus Results'!EE8</f>
        <v>34</v>
      </c>
    </row>
    <row r="9" spans="1:14" s="294" customFormat="1" ht="18" customHeight="1" x14ac:dyDescent="0.2">
      <c r="A9" s="288">
        <v>1978</v>
      </c>
      <c r="B9" s="333" t="s">
        <v>1392</v>
      </c>
      <c r="C9" s="307">
        <v>1539</v>
      </c>
      <c r="D9" s="308">
        <v>56</v>
      </c>
      <c r="E9" s="309" t="s">
        <v>3723</v>
      </c>
      <c r="F9" s="310">
        <v>1495</v>
      </c>
      <c r="G9" s="311">
        <v>37</v>
      </c>
      <c r="H9" s="309" t="s">
        <v>3722</v>
      </c>
      <c r="I9" s="310">
        <v>1457</v>
      </c>
      <c r="J9" s="311">
        <v>45</v>
      </c>
      <c r="L9" s="346">
        <f>+'Other Chorus Results'!ED9</f>
        <v>138</v>
      </c>
      <c r="M9" s="346">
        <v>16</v>
      </c>
      <c r="N9" s="346">
        <f>+'Other Chorus Results'!EE9</f>
        <v>46</v>
      </c>
    </row>
    <row r="10" spans="1:14" s="294" customFormat="1" ht="18" customHeight="1" x14ac:dyDescent="0.2">
      <c r="A10" s="288">
        <v>1979</v>
      </c>
      <c r="B10" s="685" t="s">
        <v>321</v>
      </c>
      <c r="C10" s="686"/>
      <c r="D10" s="686"/>
      <c r="E10" s="686"/>
      <c r="F10" s="686"/>
      <c r="G10" s="686"/>
      <c r="H10" s="686"/>
      <c r="I10" s="686"/>
      <c r="J10" s="687"/>
      <c r="L10" s="346"/>
      <c r="M10" s="346"/>
      <c r="N10" s="346"/>
    </row>
    <row r="11" spans="1:14" s="294" customFormat="1" ht="18" customHeight="1" x14ac:dyDescent="0.2">
      <c r="A11" s="288">
        <v>1980</v>
      </c>
      <c r="B11" s="313" t="s">
        <v>1393</v>
      </c>
      <c r="C11" s="314">
        <v>1618</v>
      </c>
      <c r="D11" s="315">
        <v>46</v>
      </c>
      <c r="E11" s="316" t="s">
        <v>3724</v>
      </c>
      <c r="F11" s="317">
        <v>1564</v>
      </c>
      <c r="G11" s="318">
        <v>41</v>
      </c>
      <c r="H11" s="316" t="s">
        <v>1394</v>
      </c>
      <c r="I11" s="317">
        <v>1436</v>
      </c>
      <c r="J11" s="318">
        <v>35</v>
      </c>
      <c r="L11" s="346">
        <f>+'Other Chorus Results'!ED11</f>
        <v>357</v>
      </c>
      <c r="M11" s="346">
        <v>12</v>
      </c>
      <c r="N11" s="346">
        <f>+'Other Chorus Results'!EE11</f>
        <v>30</v>
      </c>
    </row>
    <row r="12" spans="1:14" s="294" customFormat="1" ht="18" customHeight="1" x14ac:dyDescent="0.2">
      <c r="A12" s="288">
        <v>1981</v>
      </c>
      <c r="B12" s="321" t="s">
        <v>1395</v>
      </c>
      <c r="C12" s="322">
        <v>1928</v>
      </c>
      <c r="D12" s="323">
        <v>54</v>
      </c>
      <c r="E12" s="320" t="s">
        <v>1396</v>
      </c>
      <c r="F12" s="324">
        <v>1836</v>
      </c>
      <c r="G12" s="325">
        <v>51</v>
      </c>
      <c r="H12" s="320" t="s">
        <v>3326</v>
      </c>
      <c r="I12" s="324">
        <v>1832</v>
      </c>
      <c r="J12" s="325">
        <v>53</v>
      </c>
      <c r="L12" s="346">
        <f>+'Other Chorus Results'!ED12</f>
        <v>534</v>
      </c>
      <c r="M12" s="346">
        <v>16</v>
      </c>
      <c r="N12" s="346">
        <f>+'Other Chorus Results'!EE12</f>
        <v>33</v>
      </c>
    </row>
    <row r="13" spans="1:14" s="294" customFormat="1" ht="18" customHeight="1" x14ac:dyDescent="0.2">
      <c r="A13" s="288">
        <v>1982</v>
      </c>
      <c r="B13" s="321" t="s">
        <v>3723</v>
      </c>
      <c r="C13" s="322">
        <v>1884</v>
      </c>
      <c r="D13" s="323">
        <v>51</v>
      </c>
      <c r="E13" s="320" t="s">
        <v>3327</v>
      </c>
      <c r="F13" s="324">
        <v>1782</v>
      </c>
      <c r="G13" s="325">
        <v>49</v>
      </c>
      <c r="H13" s="320" t="s">
        <v>1978</v>
      </c>
      <c r="I13" s="324">
        <v>1766</v>
      </c>
      <c r="J13" s="325">
        <v>66</v>
      </c>
      <c r="L13" s="346">
        <f>+'Other Chorus Results'!ED13</f>
        <v>558</v>
      </c>
      <c r="M13" s="346">
        <v>16</v>
      </c>
      <c r="N13" s="346">
        <f>+'Other Chorus Results'!EE13</f>
        <v>35</v>
      </c>
    </row>
    <row r="14" spans="1:14" s="294" customFormat="1" ht="18" customHeight="1" x14ac:dyDescent="0.2">
      <c r="A14" s="288">
        <v>1983</v>
      </c>
      <c r="B14" s="321" t="s">
        <v>3328</v>
      </c>
      <c r="C14" s="322">
        <v>1885</v>
      </c>
      <c r="D14" s="323">
        <v>63</v>
      </c>
      <c r="E14" s="320" t="s">
        <v>1394</v>
      </c>
      <c r="F14" s="324">
        <v>1832</v>
      </c>
      <c r="G14" s="325">
        <v>58</v>
      </c>
      <c r="H14" s="320" t="s">
        <v>1396</v>
      </c>
      <c r="I14" s="324">
        <v>1830</v>
      </c>
      <c r="J14" s="325">
        <v>47</v>
      </c>
      <c r="L14" s="346">
        <f>+'Other Chorus Results'!ED14</f>
        <v>574</v>
      </c>
      <c r="M14" s="346">
        <v>16</v>
      </c>
      <c r="N14" s="346">
        <f>+'Other Chorus Results'!EE14</f>
        <v>36</v>
      </c>
    </row>
    <row r="15" spans="1:14" s="294" customFormat="1" ht="18" customHeight="1" x14ac:dyDescent="0.2">
      <c r="A15" s="288">
        <v>1984</v>
      </c>
      <c r="B15" s="321" t="s">
        <v>3329</v>
      </c>
      <c r="C15" s="322">
        <v>1838</v>
      </c>
      <c r="D15" s="323">
        <v>49</v>
      </c>
      <c r="E15" s="320" t="s">
        <v>3330</v>
      </c>
      <c r="F15" s="324">
        <v>1827</v>
      </c>
      <c r="G15" s="325">
        <v>60</v>
      </c>
      <c r="H15" s="320" t="s">
        <v>3331</v>
      </c>
      <c r="I15" s="324">
        <v>1786</v>
      </c>
      <c r="J15" s="325">
        <v>49</v>
      </c>
      <c r="L15" s="346">
        <f>+'Other Chorus Results'!ED15</f>
        <v>568</v>
      </c>
      <c r="M15" s="346">
        <f>+L15/N15</f>
        <v>16</v>
      </c>
      <c r="N15" s="346">
        <f>+'Other Chorus Results'!EE15</f>
        <v>36</v>
      </c>
    </row>
    <row r="16" spans="1:14" s="294" customFormat="1" ht="18" customHeight="1" x14ac:dyDescent="0.2">
      <c r="A16" s="288">
        <v>1985</v>
      </c>
      <c r="B16" s="321" t="s">
        <v>3332</v>
      </c>
      <c r="C16" s="322">
        <v>1897</v>
      </c>
      <c r="D16" s="323">
        <v>58</v>
      </c>
      <c r="E16" s="320" t="s">
        <v>3333</v>
      </c>
      <c r="F16" s="324">
        <v>1884</v>
      </c>
      <c r="G16" s="325">
        <v>65</v>
      </c>
      <c r="H16" s="320" t="s">
        <v>3128</v>
      </c>
      <c r="I16" s="324">
        <v>1839</v>
      </c>
      <c r="J16" s="325">
        <v>59</v>
      </c>
      <c r="L16" s="346">
        <f>+'Other Chorus Results'!ED16</f>
        <v>618</v>
      </c>
      <c r="M16" s="346">
        <f t="shared" ref="M16:M44" si="0">+L16/N16</f>
        <v>16</v>
      </c>
      <c r="N16" s="346">
        <f>+'Other Chorus Results'!EE16</f>
        <v>39</v>
      </c>
    </row>
    <row r="17" spans="1:14" s="294" customFormat="1" ht="18" customHeight="1" x14ac:dyDescent="0.2">
      <c r="A17" s="288">
        <v>1986</v>
      </c>
      <c r="B17" s="326" t="s">
        <v>1394</v>
      </c>
      <c r="C17" s="322">
        <v>1917</v>
      </c>
      <c r="D17" s="323">
        <v>66</v>
      </c>
      <c r="E17" s="320" t="s">
        <v>2609</v>
      </c>
      <c r="F17" s="324">
        <v>1897</v>
      </c>
      <c r="G17" s="325">
        <v>59</v>
      </c>
      <c r="H17" s="320" t="s">
        <v>3327</v>
      </c>
      <c r="I17" s="324">
        <v>1824</v>
      </c>
      <c r="J17" s="325">
        <v>51</v>
      </c>
      <c r="L17" s="346">
        <f>+'Other Chorus Results'!ED17</f>
        <v>876</v>
      </c>
      <c r="M17" s="346">
        <f t="shared" si="0"/>
        <v>25</v>
      </c>
      <c r="N17" s="346">
        <f>+'Other Chorus Results'!EE17</f>
        <v>35</v>
      </c>
    </row>
    <row r="18" spans="1:14" s="294" customFormat="1" ht="18" customHeight="1" x14ac:dyDescent="0.2">
      <c r="A18" s="288">
        <v>1987</v>
      </c>
      <c r="B18" s="321" t="s">
        <v>1975</v>
      </c>
      <c r="C18" s="322">
        <v>1335</v>
      </c>
      <c r="D18" s="323">
        <v>77</v>
      </c>
      <c r="E18" s="320" t="s">
        <v>2610</v>
      </c>
      <c r="F18" s="324">
        <v>1271</v>
      </c>
      <c r="G18" s="325">
        <v>66</v>
      </c>
      <c r="H18" s="320" t="s">
        <v>1392</v>
      </c>
      <c r="I18" s="324">
        <v>1236</v>
      </c>
      <c r="J18" s="325">
        <v>57</v>
      </c>
      <c r="L18" s="346">
        <f>+'Other Chorus Results'!ED18</f>
        <v>925</v>
      </c>
      <c r="M18" s="346">
        <f t="shared" si="0"/>
        <v>25</v>
      </c>
      <c r="N18" s="346">
        <f>+'Other Chorus Results'!EE18</f>
        <v>37</v>
      </c>
    </row>
    <row r="19" spans="1:14" s="294" customFormat="1" ht="18" customHeight="1" x14ac:dyDescent="0.2">
      <c r="A19" s="288">
        <v>1988</v>
      </c>
      <c r="B19" s="321" t="s">
        <v>2611</v>
      </c>
      <c r="C19" s="322">
        <v>1331</v>
      </c>
      <c r="D19" s="323">
        <v>70</v>
      </c>
      <c r="E19" s="320" t="s">
        <v>537</v>
      </c>
      <c r="F19" s="324">
        <v>1291</v>
      </c>
      <c r="G19" s="325">
        <v>73</v>
      </c>
      <c r="H19" s="320" t="s">
        <v>538</v>
      </c>
      <c r="I19" s="324">
        <v>1172</v>
      </c>
      <c r="J19" s="325">
        <v>43</v>
      </c>
      <c r="L19" s="346">
        <f>+'Other Chorus Results'!ED19</f>
        <v>835</v>
      </c>
      <c r="M19" s="346">
        <f t="shared" si="0"/>
        <v>21</v>
      </c>
      <c r="N19" s="346">
        <f>+'Other Chorus Results'!EE19</f>
        <v>40</v>
      </c>
    </row>
    <row r="20" spans="1:14" s="294" customFormat="1" ht="18" customHeight="1" x14ac:dyDescent="0.2">
      <c r="A20" s="288">
        <v>1989</v>
      </c>
      <c r="B20" s="321" t="s">
        <v>3128</v>
      </c>
      <c r="C20" s="322">
        <v>1362</v>
      </c>
      <c r="D20" s="323">
        <v>71</v>
      </c>
      <c r="E20" s="320" t="s">
        <v>3332</v>
      </c>
      <c r="F20" s="324">
        <v>1329</v>
      </c>
      <c r="G20" s="325">
        <v>86</v>
      </c>
      <c r="H20" s="320" t="s">
        <v>539</v>
      </c>
      <c r="I20" s="324">
        <v>1171</v>
      </c>
      <c r="J20" s="325">
        <v>44</v>
      </c>
      <c r="L20" s="346">
        <f>+'Other Chorus Results'!ED20</f>
        <v>841</v>
      </c>
      <c r="M20" s="346">
        <f t="shared" si="0"/>
        <v>21</v>
      </c>
      <c r="N20" s="346">
        <f>+'Other Chorus Results'!EE20</f>
        <v>40</v>
      </c>
    </row>
    <row r="21" spans="1:14" s="294" customFormat="1" ht="18" customHeight="1" x14ac:dyDescent="0.2">
      <c r="A21" s="288">
        <v>1990</v>
      </c>
      <c r="B21" s="321" t="s">
        <v>540</v>
      </c>
      <c r="C21" s="322">
        <v>1308</v>
      </c>
      <c r="D21" s="323">
        <v>82</v>
      </c>
      <c r="E21" s="320" t="s">
        <v>1975</v>
      </c>
      <c r="F21" s="324">
        <v>1300</v>
      </c>
      <c r="G21" s="325">
        <v>86</v>
      </c>
      <c r="H21" s="320" t="s">
        <v>541</v>
      </c>
      <c r="I21" s="324">
        <v>1271</v>
      </c>
      <c r="J21" s="325">
        <v>61</v>
      </c>
      <c r="L21" s="346">
        <f>+'Other Chorus Results'!ED21</f>
        <v>861</v>
      </c>
      <c r="M21" s="346">
        <f t="shared" si="0"/>
        <v>21</v>
      </c>
      <c r="N21" s="346">
        <f>+'Other Chorus Results'!EE21</f>
        <v>41</v>
      </c>
    </row>
    <row r="22" spans="1:14" s="294" customFormat="1" ht="18" customHeight="1" x14ac:dyDescent="0.2">
      <c r="A22" s="288">
        <v>1991</v>
      </c>
      <c r="B22" s="320" t="s">
        <v>537</v>
      </c>
      <c r="C22" s="324">
        <v>1337</v>
      </c>
      <c r="D22" s="325">
        <v>67</v>
      </c>
      <c r="E22" s="327" t="s">
        <v>1976</v>
      </c>
      <c r="F22" s="324">
        <v>1300</v>
      </c>
      <c r="G22" s="325">
        <v>93</v>
      </c>
      <c r="H22" s="320" t="s">
        <v>542</v>
      </c>
      <c r="I22" s="324">
        <v>1270</v>
      </c>
      <c r="J22" s="325">
        <v>50</v>
      </c>
      <c r="L22" s="346">
        <f>+'Other Chorus Results'!ED22</f>
        <v>910</v>
      </c>
      <c r="M22" s="346">
        <f t="shared" si="0"/>
        <v>21</v>
      </c>
      <c r="N22" s="346">
        <f>+'Other Chorus Results'!EE22</f>
        <v>43</v>
      </c>
    </row>
    <row r="23" spans="1:14" s="294" customFormat="1" ht="18" customHeight="1" x14ac:dyDescent="0.2">
      <c r="A23" s="288">
        <v>1992</v>
      </c>
      <c r="B23" s="320" t="s">
        <v>539</v>
      </c>
      <c r="C23" s="324">
        <v>1285</v>
      </c>
      <c r="D23" s="325">
        <v>59</v>
      </c>
      <c r="E23" s="320" t="s">
        <v>543</v>
      </c>
      <c r="F23" s="324">
        <v>1274</v>
      </c>
      <c r="G23" s="325">
        <v>49</v>
      </c>
      <c r="H23" s="320" t="s">
        <v>1975</v>
      </c>
      <c r="I23" s="324">
        <v>1232</v>
      </c>
      <c r="J23" s="325">
        <v>70</v>
      </c>
      <c r="L23" s="346">
        <f>+'Other Chorus Results'!ED23</f>
        <v>931</v>
      </c>
      <c r="M23" s="346">
        <f t="shared" si="0"/>
        <v>21</v>
      </c>
      <c r="N23" s="346">
        <f>+'Other Chorus Results'!EE23</f>
        <v>44</v>
      </c>
    </row>
    <row r="24" spans="1:14" s="294" customFormat="1" ht="18" customHeight="1" x14ac:dyDescent="0.2">
      <c r="A24" s="288">
        <v>1993</v>
      </c>
      <c r="B24" s="320" t="s">
        <v>544</v>
      </c>
      <c r="C24" s="324">
        <v>1361</v>
      </c>
      <c r="D24" s="325">
        <v>58</v>
      </c>
      <c r="E24" s="320" t="s">
        <v>363</v>
      </c>
      <c r="F24" s="324">
        <v>1349</v>
      </c>
      <c r="G24" s="325">
        <v>71</v>
      </c>
      <c r="H24" s="320" t="s">
        <v>364</v>
      </c>
      <c r="I24" s="324">
        <v>1258</v>
      </c>
      <c r="J24" s="325">
        <v>90</v>
      </c>
      <c r="L24" s="346">
        <f>+'Other Chorus Results'!ED24</f>
        <v>974</v>
      </c>
      <c r="M24" s="346">
        <f t="shared" si="0"/>
        <v>21</v>
      </c>
      <c r="N24" s="346">
        <f>+'Other Chorus Results'!EE24</f>
        <v>46</v>
      </c>
    </row>
    <row r="25" spans="1:14" s="294" customFormat="1" ht="18" customHeight="1" x14ac:dyDescent="0.2">
      <c r="A25" s="288">
        <v>1994</v>
      </c>
      <c r="B25" s="320" t="s">
        <v>363</v>
      </c>
      <c r="C25" s="627">
        <f>1385/1800</f>
        <v>0.76939999999999997</v>
      </c>
      <c r="D25" s="325">
        <v>86</v>
      </c>
      <c r="E25" s="320" t="s">
        <v>365</v>
      </c>
      <c r="F25" s="627">
        <f>1301/1800</f>
        <v>0.7228</v>
      </c>
      <c r="G25" s="325">
        <v>19</v>
      </c>
      <c r="H25" s="320" t="s">
        <v>366</v>
      </c>
      <c r="I25" s="627">
        <f>1297/1800</f>
        <v>0.72060000000000002</v>
      </c>
      <c r="J25" s="325">
        <v>79</v>
      </c>
      <c r="L25" s="346">
        <f>+'Other Chorus Results'!ED25</f>
        <v>863</v>
      </c>
      <c r="M25" s="346">
        <f t="shared" si="0"/>
        <v>21</v>
      </c>
      <c r="N25" s="346">
        <f>+'Other Chorus Results'!EE25</f>
        <v>41</v>
      </c>
    </row>
    <row r="26" spans="1:14" s="294" customFormat="1" ht="18" customHeight="1" x14ac:dyDescent="0.2">
      <c r="A26" s="288">
        <v>1995</v>
      </c>
      <c r="B26" s="320" t="s">
        <v>542</v>
      </c>
      <c r="C26" s="627">
        <f>1466/1800</f>
        <v>0.81440000000000001</v>
      </c>
      <c r="D26" s="325">
        <v>69</v>
      </c>
      <c r="E26" s="320" t="s">
        <v>366</v>
      </c>
      <c r="F26" s="627">
        <f>1360/1800</f>
        <v>0.75560000000000005</v>
      </c>
      <c r="G26" s="325">
        <v>75</v>
      </c>
      <c r="H26" s="320" t="s">
        <v>544</v>
      </c>
      <c r="I26" s="627">
        <f>1357/1800</f>
        <v>0.75390000000000001</v>
      </c>
      <c r="J26" s="325">
        <v>48</v>
      </c>
      <c r="L26" s="346">
        <f>+'Other Chorus Results'!ED26</f>
        <v>680</v>
      </c>
      <c r="M26" s="346">
        <f t="shared" si="0"/>
        <v>16</v>
      </c>
      <c r="N26" s="346">
        <f>+'Other Chorus Results'!EE26</f>
        <v>43</v>
      </c>
    </row>
    <row r="27" spans="1:14" s="294" customFormat="1" ht="18" customHeight="1" x14ac:dyDescent="0.2">
      <c r="A27" s="288">
        <v>1996</v>
      </c>
      <c r="B27" s="320" t="s">
        <v>3039</v>
      </c>
      <c r="C27" s="627">
        <f>1455/1800</f>
        <v>0.80830000000000002</v>
      </c>
      <c r="D27" s="325">
        <v>55</v>
      </c>
      <c r="E27" s="320" t="s">
        <v>3040</v>
      </c>
      <c r="F27" s="627">
        <f>1423/1800</f>
        <v>0.79059999999999997</v>
      </c>
      <c r="G27" s="325">
        <v>90</v>
      </c>
      <c r="H27" s="320" t="s">
        <v>506</v>
      </c>
      <c r="I27" s="627">
        <f>1397/1800</f>
        <v>0.77610000000000001</v>
      </c>
      <c r="J27" s="325">
        <v>86</v>
      </c>
      <c r="L27" s="346">
        <f>+'Other Chorus Results'!ED27</f>
        <v>851</v>
      </c>
      <c r="M27" s="346">
        <f t="shared" si="0"/>
        <v>20</v>
      </c>
      <c r="N27" s="346">
        <f>+'Other Chorus Results'!EE27</f>
        <v>43</v>
      </c>
    </row>
    <row r="28" spans="1:14" s="294" customFormat="1" ht="18" customHeight="1" x14ac:dyDescent="0.2">
      <c r="A28" s="288">
        <v>1997</v>
      </c>
      <c r="B28" s="320" t="s">
        <v>507</v>
      </c>
      <c r="C28" s="627">
        <f>1416/1800</f>
        <v>0.78669999999999995</v>
      </c>
      <c r="D28" s="325">
        <v>81</v>
      </c>
      <c r="E28" s="320" t="s">
        <v>508</v>
      </c>
      <c r="F28" s="627">
        <f>1383/1800</f>
        <v>0.76829999999999998</v>
      </c>
      <c r="G28" s="325">
        <v>24</v>
      </c>
      <c r="H28" s="320" t="s">
        <v>509</v>
      </c>
      <c r="I28" s="627">
        <f>1281/1800</f>
        <v>0.7117</v>
      </c>
      <c r="J28" s="325">
        <v>66</v>
      </c>
      <c r="L28" s="346">
        <f>+'Other Chorus Results'!ED28</f>
        <v>838</v>
      </c>
      <c r="M28" s="346">
        <f t="shared" si="0"/>
        <v>20</v>
      </c>
      <c r="N28" s="346">
        <f>+'Other Chorus Results'!EE28</f>
        <v>42</v>
      </c>
    </row>
    <row r="29" spans="1:14" s="294" customFormat="1" ht="18" customHeight="1" x14ac:dyDescent="0.2">
      <c r="A29" s="288">
        <v>1998</v>
      </c>
      <c r="B29" s="320" t="s">
        <v>510</v>
      </c>
      <c r="C29" s="627">
        <f>1385/1800</f>
        <v>0.76939999999999997</v>
      </c>
      <c r="D29" s="325">
        <v>65</v>
      </c>
      <c r="E29" s="320" t="s">
        <v>2299</v>
      </c>
      <c r="F29" s="627">
        <f>1347/1800</f>
        <v>0.74829999999999997</v>
      </c>
      <c r="G29" s="325">
        <v>23</v>
      </c>
      <c r="H29" s="320" t="s">
        <v>1036</v>
      </c>
      <c r="I29" s="627">
        <f>1329/1800</f>
        <v>0.73829999999999996</v>
      </c>
      <c r="J29" s="325">
        <v>70</v>
      </c>
      <c r="L29" s="346">
        <f>+'Other Chorus Results'!ED29</f>
        <v>812</v>
      </c>
      <c r="M29" s="346">
        <f t="shared" si="0"/>
        <v>20</v>
      </c>
      <c r="N29" s="346">
        <f>+'Other Chorus Results'!EE29</f>
        <v>41</v>
      </c>
    </row>
    <row r="30" spans="1:14" s="294" customFormat="1" ht="18" customHeight="1" x14ac:dyDescent="0.2">
      <c r="A30" s="288">
        <v>1999</v>
      </c>
      <c r="B30" s="320" t="s">
        <v>365</v>
      </c>
      <c r="C30" s="627">
        <f>1924/2400</f>
        <v>0.80169999999999997</v>
      </c>
      <c r="D30" s="325">
        <v>29</v>
      </c>
      <c r="E30" s="320" t="s">
        <v>2300</v>
      </c>
      <c r="F30" s="627">
        <f>1828/2400</f>
        <v>0.76170000000000004</v>
      </c>
      <c r="G30" s="325">
        <v>78</v>
      </c>
      <c r="H30" s="320" t="s">
        <v>2301</v>
      </c>
      <c r="I30" s="627">
        <f>1819/2400</f>
        <v>0.75790000000000002</v>
      </c>
      <c r="J30" s="325">
        <v>59</v>
      </c>
      <c r="L30" s="346">
        <f>+'Other Chorus Results'!ED30</f>
        <v>1235</v>
      </c>
      <c r="M30" s="346">
        <f t="shared" si="0"/>
        <v>39</v>
      </c>
      <c r="N30" s="346">
        <f>+'Other Chorus Results'!EE30</f>
        <v>32</v>
      </c>
    </row>
    <row r="31" spans="1:14" s="294" customFormat="1" ht="18" customHeight="1" x14ac:dyDescent="0.2">
      <c r="A31" s="288">
        <v>2000</v>
      </c>
      <c r="B31" s="320" t="s">
        <v>2300</v>
      </c>
      <c r="C31" s="627">
        <f>1861/2400</f>
        <v>0.77539999999999998</v>
      </c>
      <c r="D31" s="325">
        <v>68</v>
      </c>
      <c r="E31" s="320" t="s">
        <v>2302</v>
      </c>
      <c r="F31" s="627">
        <f>1740/2400</f>
        <v>0.72499999999999998</v>
      </c>
      <c r="G31" s="325">
        <v>65</v>
      </c>
      <c r="H31" s="320" t="s">
        <v>2303</v>
      </c>
      <c r="I31" s="627">
        <f>1732/2400</f>
        <v>0.72170000000000001</v>
      </c>
      <c r="J31" s="325">
        <v>59</v>
      </c>
      <c r="L31" s="346">
        <f>+'Other Chorus Results'!ED31</f>
        <v>784</v>
      </c>
      <c r="M31" s="346">
        <f t="shared" si="0"/>
        <v>20</v>
      </c>
      <c r="N31" s="346">
        <f>+'Other Chorus Results'!EE31</f>
        <v>39</v>
      </c>
    </row>
    <row r="32" spans="1:14" s="294" customFormat="1" ht="18" customHeight="1" x14ac:dyDescent="0.2">
      <c r="A32" s="288">
        <v>2001</v>
      </c>
      <c r="B32" s="320" t="s">
        <v>2304</v>
      </c>
      <c r="C32" s="627">
        <f>1347/1800</f>
        <v>0.74829999999999997</v>
      </c>
      <c r="D32" s="325">
        <v>58</v>
      </c>
      <c r="E32" s="320" t="s">
        <v>2305</v>
      </c>
      <c r="F32" s="627">
        <f>1345/1800</f>
        <v>0.74719999999999998</v>
      </c>
      <c r="G32" s="325">
        <v>61</v>
      </c>
      <c r="H32" s="320" t="s">
        <v>4743</v>
      </c>
      <c r="I32" s="627">
        <f>1328/1800</f>
        <v>0.73780000000000001</v>
      </c>
      <c r="J32" s="325">
        <v>68</v>
      </c>
      <c r="L32" s="346">
        <f>+'Other Chorus Results'!ED32</f>
        <v>736</v>
      </c>
      <c r="M32" s="346">
        <f t="shared" si="0"/>
        <v>20</v>
      </c>
      <c r="N32" s="346">
        <f>+'Other Chorus Results'!EE32</f>
        <v>37</v>
      </c>
    </row>
    <row r="33" spans="1:14" s="294" customFormat="1" ht="18" customHeight="1" x14ac:dyDescent="0.2">
      <c r="A33" s="288">
        <v>2002</v>
      </c>
      <c r="B33" s="320" t="s">
        <v>508</v>
      </c>
      <c r="C33" s="627">
        <f>1504/1800</f>
        <v>0.83560000000000001</v>
      </c>
      <c r="D33" s="325">
        <v>36</v>
      </c>
      <c r="E33" s="320" t="s">
        <v>565</v>
      </c>
      <c r="F33" s="627">
        <f>1395/1800</f>
        <v>0.77500000000000002</v>
      </c>
      <c r="G33" s="325">
        <v>63</v>
      </c>
      <c r="H33" s="320" t="s">
        <v>566</v>
      </c>
      <c r="I33" s="627">
        <f>1304/1800</f>
        <v>0.72440000000000004</v>
      </c>
      <c r="J33" s="325">
        <v>67</v>
      </c>
      <c r="L33" s="346">
        <f>+'Other Chorus Results'!ED33</f>
        <v>761</v>
      </c>
      <c r="M33" s="346">
        <f t="shared" si="0"/>
        <v>20</v>
      </c>
      <c r="N33" s="346">
        <f>+'Other Chorus Results'!EE33</f>
        <v>38</v>
      </c>
    </row>
    <row r="34" spans="1:14" s="294" customFormat="1" ht="18" customHeight="1" x14ac:dyDescent="0.2">
      <c r="A34" s="283">
        <v>2003</v>
      </c>
      <c r="B34" s="320" t="s">
        <v>567</v>
      </c>
      <c r="C34" s="627">
        <f>1348/1800</f>
        <v>0.74890000000000001</v>
      </c>
      <c r="D34" s="325">
        <v>58</v>
      </c>
      <c r="E34" s="320" t="s">
        <v>568</v>
      </c>
      <c r="F34" s="627">
        <f>1337/1800</f>
        <v>0.74280000000000002</v>
      </c>
      <c r="G34" s="325">
        <v>52</v>
      </c>
      <c r="H34" s="320" t="s">
        <v>2305</v>
      </c>
      <c r="I34" s="627">
        <f>1332/1800</f>
        <v>0.74</v>
      </c>
      <c r="J34" s="325">
        <v>65</v>
      </c>
      <c r="L34" s="346">
        <f>+'Other Chorus Results'!ED34</f>
        <v>734</v>
      </c>
      <c r="M34" s="346">
        <f t="shared" si="0"/>
        <v>20</v>
      </c>
      <c r="N34" s="346">
        <f>+'Other Chorus Results'!EE34</f>
        <v>37</v>
      </c>
    </row>
    <row r="35" spans="1:14" s="294" customFormat="1" ht="18" customHeight="1" x14ac:dyDescent="0.2">
      <c r="A35" s="283">
        <v>2004</v>
      </c>
      <c r="B35" s="320" t="s">
        <v>2299</v>
      </c>
      <c r="C35" s="627">
        <f>1465/1800</f>
        <v>0.81389999999999996</v>
      </c>
      <c r="D35" s="325">
        <v>43</v>
      </c>
      <c r="E35" s="320" t="s">
        <v>569</v>
      </c>
      <c r="F35" s="627">
        <f>1391/1800</f>
        <v>0.77280000000000004</v>
      </c>
      <c r="G35" s="325">
        <v>64</v>
      </c>
      <c r="H35" s="320" t="s">
        <v>570</v>
      </c>
      <c r="I35" s="627">
        <f>1322/1800</f>
        <v>0.73440000000000005</v>
      </c>
      <c r="J35" s="325">
        <v>55</v>
      </c>
      <c r="L35" s="346">
        <f>+'Other Chorus Results'!ED35</f>
        <v>955</v>
      </c>
      <c r="M35" s="346">
        <f t="shared" si="0"/>
        <v>32</v>
      </c>
      <c r="N35" s="346">
        <f>+'Other Chorus Results'!EE35</f>
        <v>30</v>
      </c>
    </row>
    <row r="36" spans="1:14" s="284" customFormat="1" ht="18" customHeight="1" x14ac:dyDescent="0.2">
      <c r="A36" s="283">
        <v>2005</v>
      </c>
      <c r="B36" s="284" t="s">
        <v>2305</v>
      </c>
      <c r="C36" s="627">
        <f>1899/2400</f>
        <v>0.7913</v>
      </c>
      <c r="D36" s="325">
        <v>59</v>
      </c>
      <c r="E36" s="284" t="s">
        <v>571</v>
      </c>
      <c r="F36" s="627">
        <f>1853/2400</f>
        <v>0.77210000000000001</v>
      </c>
      <c r="G36" s="325">
        <v>59</v>
      </c>
      <c r="H36" s="284" t="s">
        <v>572</v>
      </c>
      <c r="I36" s="627">
        <f>1709/2400</f>
        <v>0.71209999999999996</v>
      </c>
      <c r="J36" s="325">
        <v>52</v>
      </c>
      <c r="K36" s="294"/>
      <c r="L36" s="346">
        <f>+'Other Chorus Results'!ED36</f>
        <v>874</v>
      </c>
      <c r="M36" s="346">
        <f t="shared" si="0"/>
        <v>28</v>
      </c>
      <c r="N36" s="346">
        <f>+'Other Chorus Results'!EE36</f>
        <v>31</v>
      </c>
    </row>
    <row r="37" spans="1:14" s="284" customFormat="1" ht="18" customHeight="1" x14ac:dyDescent="0.2">
      <c r="A37" s="283">
        <v>2006</v>
      </c>
      <c r="B37" s="284" t="s">
        <v>1038</v>
      </c>
      <c r="C37" s="627">
        <f>1438/1800</f>
        <v>0.79890000000000005</v>
      </c>
      <c r="D37" s="325">
        <v>43</v>
      </c>
      <c r="E37" s="284" t="s">
        <v>1216</v>
      </c>
      <c r="F37" s="627">
        <f>1350/1800</f>
        <v>0.75</v>
      </c>
      <c r="G37" s="325">
        <v>50</v>
      </c>
      <c r="H37" s="284" t="s">
        <v>4264</v>
      </c>
      <c r="I37" s="627">
        <f>1301/1800</f>
        <v>0.7228</v>
      </c>
      <c r="J37" s="325">
        <v>46</v>
      </c>
      <c r="K37" s="294"/>
      <c r="L37" s="346">
        <f>+'Other Chorus Results'!ED37</f>
        <v>752</v>
      </c>
      <c r="M37" s="346">
        <f t="shared" si="0"/>
        <v>26</v>
      </c>
      <c r="N37" s="346">
        <f>+'Other Chorus Results'!EE37</f>
        <v>29</v>
      </c>
    </row>
    <row r="38" spans="1:14" s="284" customFormat="1" ht="18" customHeight="1" x14ac:dyDescent="0.2">
      <c r="A38" s="283">
        <v>2007</v>
      </c>
      <c r="B38" s="284" t="s">
        <v>565</v>
      </c>
      <c r="C38" s="627">
        <f>1398/1800</f>
        <v>0.77669999999999995</v>
      </c>
      <c r="D38" s="325">
        <v>43</v>
      </c>
      <c r="E38" s="284" t="s">
        <v>4265</v>
      </c>
      <c r="F38" s="627">
        <f>1383/1800</f>
        <v>0.76829999999999998</v>
      </c>
      <c r="G38" s="325">
        <v>50</v>
      </c>
      <c r="H38" s="284" t="s">
        <v>4266</v>
      </c>
      <c r="I38" s="627">
        <f>1316/1800</f>
        <v>0.73109999999999997</v>
      </c>
      <c r="J38" s="325">
        <v>47</v>
      </c>
      <c r="K38" s="294"/>
      <c r="L38" s="346">
        <f>+'Other Chorus Results'!ED38</f>
        <v>987</v>
      </c>
      <c r="M38" s="346">
        <f t="shared" si="0"/>
        <v>32</v>
      </c>
      <c r="N38" s="346">
        <f>+'Other Chorus Results'!EE38</f>
        <v>31</v>
      </c>
    </row>
    <row r="39" spans="1:14" s="284" customFormat="1" ht="18" customHeight="1" x14ac:dyDescent="0.2">
      <c r="A39" s="283">
        <v>2008</v>
      </c>
      <c r="B39" s="284" t="s">
        <v>4267</v>
      </c>
      <c r="C39" s="627">
        <f>1418/1800</f>
        <v>0.78779999999999994</v>
      </c>
      <c r="D39" s="325">
        <v>50</v>
      </c>
      <c r="E39" s="284" t="s">
        <v>3485</v>
      </c>
      <c r="F39" s="627">
        <f>1335/1800</f>
        <v>0.74170000000000003</v>
      </c>
      <c r="G39" s="325">
        <v>36</v>
      </c>
      <c r="H39" s="284" t="s">
        <v>4269</v>
      </c>
      <c r="I39" s="627">
        <f>1319/1800</f>
        <v>0.73280000000000001</v>
      </c>
      <c r="J39" s="325">
        <v>61</v>
      </c>
      <c r="K39" s="294"/>
      <c r="L39" s="346">
        <f>+'Other Chorus Results'!ED39</f>
        <v>1115</v>
      </c>
      <c r="M39" s="346">
        <f t="shared" si="0"/>
        <v>38</v>
      </c>
      <c r="N39" s="346">
        <f>+'Other Chorus Results'!EE39</f>
        <v>29</v>
      </c>
    </row>
    <row r="40" spans="1:14" s="284" customFormat="1" ht="18" customHeight="1" x14ac:dyDescent="0.2">
      <c r="A40" s="283">
        <v>2009</v>
      </c>
      <c r="B40" s="284" t="s">
        <v>4270</v>
      </c>
      <c r="C40" s="627">
        <f>1397/1800</f>
        <v>0.77610000000000001</v>
      </c>
      <c r="D40" s="325">
        <v>58</v>
      </c>
      <c r="E40" s="284" t="s">
        <v>1037</v>
      </c>
      <c r="F40" s="627">
        <f>1357/1800</f>
        <v>0.75390000000000001</v>
      </c>
      <c r="G40" s="325">
        <v>41</v>
      </c>
      <c r="H40" s="284" t="s">
        <v>4271</v>
      </c>
      <c r="I40" s="627">
        <f>1331/1800</f>
        <v>0.73939999999999995</v>
      </c>
      <c r="J40" s="325">
        <v>49</v>
      </c>
      <c r="K40" s="294"/>
      <c r="L40" s="346">
        <f>+'Other Chorus Results'!ED40</f>
        <v>999</v>
      </c>
      <c r="M40" s="346">
        <f t="shared" si="0"/>
        <v>33</v>
      </c>
      <c r="N40" s="346">
        <f>+'Other Chorus Results'!EE40</f>
        <v>30</v>
      </c>
    </row>
    <row r="41" spans="1:14" s="284" customFormat="1" ht="18" customHeight="1" x14ac:dyDescent="0.2">
      <c r="A41" s="283">
        <v>2010</v>
      </c>
      <c r="B41" s="284" t="s">
        <v>1234</v>
      </c>
      <c r="C41" s="627">
        <f>1392/1800</f>
        <v>0.77329999999999999</v>
      </c>
      <c r="D41" s="325">
        <v>54</v>
      </c>
      <c r="E41" s="284" t="s">
        <v>1235</v>
      </c>
      <c r="F41" s="627">
        <f>1380/1800</f>
        <v>0.76670000000000005</v>
      </c>
      <c r="G41" s="325">
        <v>47</v>
      </c>
      <c r="H41" s="284" t="s">
        <v>1236</v>
      </c>
      <c r="I41" s="627">
        <f>1366/1800</f>
        <v>0.75890000000000002</v>
      </c>
      <c r="J41" s="325">
        <v>51</v>
      </c>
      <c r="K41" s="294"/>
      <c r="L41" s="346">
        <f>+'Other Chorus Results'!ED41</f>
        <v>1205</v>
      </c>
      <c r="M41" s="346">
        <f t="shared" si="0"/>
        <v>37</v>
      </c>
      <c r="N41" s="346">
        <f>+'Other Chorus Results'!EE41</f>
        <v>33</v>
      </c>
    </row>
    <row r="42" spans="1:14" s="284" customFormat="1" ht="18" customHeight="1" x14ac:dyDescent="0.2">
      <c r="A42" s="283">
        <v>2011</v>
      </c>
      <c r="B42" s="284" t="s">
        <v>2839</v>
      </c>
      <c r="C42" s="627">
        <f>1364/1800</f>
        <v>0.75780000000000003</v>
      </c>
      <c r="D42" s="325">
        <v>54</v>
      </c>
      <c r="E42" s="284" t="s">
        <v>2840</v>
      </c>
      <c r="F42" s="627">
        <f>1346/1800</f>
        <v>0.74780000000000002</v>
      </c>
      <c r="G42" s="325">
        <v>48</v>
      </c>
      <c r="H42" s="284" t="s">
        <v>2841</v>
      </c>
      <c r="I42" s="627">
        <f>1329/1800</f>
        <v>0.73829999999999996</v>
      </c>
      <c r="J42" s="325">
        <v>33</v>
      </c>
      <c r="K42" s="294"/>
      <c r="L42" s="346">
        <f>+'Other Chorus Results'!ED42</f>
        <v>1075</v>
      </c>
      <c r="M42" s="346">
        <f t="shared" si="0"/>
        <v>33</v>
      </c>
      <c r="N42" s="346">
        <f>+'Other Chorus Results'!EE42</f>
        <v>33</v>
      </c>
    </row>
    <row r="43" spans="1:14" s="284" customFormat="1" ht="18" customHeight="1" x14ac:dyDescent="0.2">
      <c r="A43" s="283">
        <v>2012</v>
      </c>
      <c r="B43" s="284" t="s">
        <v>1548</v>
      </c>
      <c r="C43" s="627">
        <f>1424/1800</f>
        <v>0.79110000000000003</v>
      </c>
      <c r="D43" s="325">
        <v>45</v>
      </c>
      <c r="E43" s="284" t="s">
        <v>4026</v>
      </c>
      <c r="F43" s="627">
        <f>1375/1800</f>
        <v>0.76390000000000002</v>
      </c>
      <c r="G43" s="325">
        <v>47</v>
      </c>
      <c r="H43" s="284" t="s">
        <v>4421</v>
      </c>
      <c r="I43" s="627">
        <f>1365/1800</f>
        <v>0.75829999999999997</v>
      </c>
      <c r="J43" s="325">
        <v>54</v>
      </c>
      <c r="K43" s="294"/>
      <c r="L43" s="346">
        <f>+'Other Chorus Results'!ED43</f>
        <v>1186</v>
      </c>
      <c r="M43" s="346">
        <f t="shared" si="0"/>
        <v>40</v>
      </c>
      <c r="N43" s="346">
        <f>+'Other Chorus Results'!EE43</f>
        <v>30</v>
      </c>
    </row>
    <row r="44" spans="1:14" s="284" customFormat="1" ht="18" customHeight="1" x14ac:dyDescent="0.2">
      <c r="A44" s="283">
        <v>2013</v>
      </c>
      <c r="B44" s="284" t="s">
        <v>3483</v>
      </c>
      <c r="C44" s="627">
        <f>1431/1800</f>
        <v>0.79500000000000004</v>
      </c>
      <c r="D44" s="325">
        <v>54</v>
      </c>
      <c r="E44" s="284" t="s">
        <v>4742</v>
      </c>
      <c r="F44" s="627">
        <f>1421/1800</f>
        <v>0.78939999999999999</v>
      </c>
      <c r="G44" s="325">
        <v>70</v>
      </c>
      <c r="H44" s="284" t="s">
        <v>3484</v>
      </c>
      <c r="I44" s="627">
        <f>1390/1800</f>
        <v>0.7722</v>
      </c>
      <c r="J44" s="325">
        <v>56</v>
      </c>
      <c r="K44" s="294"/>
      <c r="L44" s="346">
        <f>+'Other Chorus Results'!ED44</f>
        <v>1185</v>
      </c>
      <c r="M44" s="346">
        <f t="shared" si="0"/>
        <v>35</v>
      </c>
      <c r="N44" s="346">
        <f>+'Other Chorus Results'!EE44</f>
        <v>34</v>
      </c>
    </row>
    <row r="45" spans="1:14" s="284" customFormat="1" ht="18" customHeight="1" x14ac:dyDescent="0.2">
      <c r="A45" s="283">
        <v>2014</v>
      </c>
      <c r="B45" s="284" t="s">
        <v>872</v>
      </c>
      <c r="C45" s="627">
        <f>1463/1800</f>
        <v>0.81279999999999997</v>
      </c>
      <c r="D45" s="325">
        <v>78</v>
      </c>
      <c r="E45" s="284" t="s">
        <v>4266</v>
      </c>
      <c r="F45" s="627">
        <f>1423/1800</f>
        <v>0.79059999999999997</v>
      </c>
      <c r="G45" s="325">
        <v>59</v>
      </c>
      <c r="H45" s="284" t="s">
        <v>1149</v>
      </c>
      <c r="I45" s="627">
        <f>1415/1800</f>
        <v>0.78610000000000002</v>
      </c>
      <c r="J45" s="325">
        <v>29</v>
      </c>
      <c r="K45" s="294"/>
      <c r="L45" s="346">
        <f>+'Other Chorus Results'!ED45</f>
        <v>1427</v>
      </c>
      <c r="M45" s="346">
        <f t="shared" ref="M45:M50" si="1">+L45/N45</f>
        <v>46</v>
      </c>
      <c r="N45" s="346">
        <f>+'Other Chorus Results'!EE45</f>
        <v>31</v>
      </c>
    </row>
    <row r="46" spans="1:14" s="284" customFormat="1" ht="18" customHeight="1" x14ac:dyDescent="0.2">
      <c r="A46" s="283">
        <v>2015</v>
      </c>
      <c r="B46" s="284" t="s">
        <v>4469</v>
      </c>
      <c r="C46" s="627">
        <f>1457/1800</f>
        <v>0.80940000000000001</v>
      </c>
      <c r="D46" s="325">
        <v>54</v>
      </c>
      <c r="E46" s="284" t="s">
        <v>3483</v>
      </c>
      <c r="F46" s="627">
        <f>1445/1800</f>
        <v>0.80279999999999996</v>
      </c>
      <c r="G46" s="325">
        <v>61</v>
      </c>
      <c r="H46" s="284" t="s">
        <v>4467</v>
      </c>
      <c r="I46" s="627">
        <f>1423/1800</f>
        <v>0.79059999999999997</v>
      </c>
      <c r="J46" s="325">
        <v>52</v>
      </c>
      <c r="K46" s="294"/>
      <c r="L46" s="346">
        <f>+'Other Chorus Results'!ED46</f>
        <v>1093</v>
      </c>
      <c r="M46" s="346">
        <f t="shared" si="1"/>
        <v>36</v>
      </c>
      <c r="N46" s="346">
        <f>+'Other Chorus Results'!EE46</f>
        <v>30</v>
      </c>
    </row>
    <row r="47" spans="1:14" s="284" customFormat="1" ht="18" customHeight="1" x14ac:dyDescent="0.2">
      <c r="A47" s="283">
        <v>2016</v>
      </c>
      <c r="B47" s="284" t="s">
        <v>4419</v>
      </c>
      <c r="C47" s="627">
        <f>1483/1800</f>
        <v>0.82389999999999997</v>
      </c>
      <c r="D47" s="325">
        <v>62</v>
      </c>
      <c r="E47" s="284" t="s">
        <v>4422</v>
      </c>
      <c r="F47" s="627">
        <f>1454/1800</f>
        <v>0.80779999999999996</v>
      </c>
      <c r="G47" s="325">
        <v>61</v>
      </c>
      <c r="H47" s="284" t="s">
        <v>4420</v>
      </c>
      <c r="I47" s="627">
        <f>1423/1800</f>
        <v>0.79059999999999997</v>
      </c>
      <c r="J47" s="325">
        <v>52</v>
      </c>
      <c r="K47" s="294"/>
      <c r="L47" s="346">
        <f>+'Other Chorus Results'!ED47</f>
        <v>1008</v>
      </c>
      <c r="M47" s="346">
        <f t="shared" si="1"/>
        <v>35</v>
      </c>
      <c r="N47" s="346">
        <f>+'Other Chorus Results'!EE47</f>
        <v>29</v>
      </c>
    </row>
    <row r="48" spans="1:14" s="284" customFormat="1" ht="18" customHeight="1" x14ac:dyDescent="0.2">
      <c r="A48" s="283">
        <v>2017</v>
      </c>
      <c r="B48" s="284" t="s">
        <v>4470</v>
      </c>
      <c r="C48" s="627">
        <f>1952/2400</f>
        <v>0.81330000000000002</v>
      </c>
      <c r="D48" s="325">
        <v>52</v>
      </c>
      <c r="E48" s="284" t="s">
        <v>4466</v>
      </c>
      <c r="F48" s="627">
        <f>1945/2400</f>
        <v>0.81040000000000001</v>
      </c>
      <c r="G48" s="325">
        <v>78</v>
      </c>
      <c r="H48" s="284" t="s">
        <v>4468</v>
      </c>
      <c r="I48" s="627">
        <f>1924/2400</f>
        <v>0.80169999999999997</v>
      </c>
      <c r="J48" s="325">
        <v>60</v>
      </c>
      <c r="K48" s="294"/>
      <c r="L48" s="346">
        <f>+'Other Chorus Results'!ED48</f>
        <v>968</v>
      </c>
      <c r="M48" s="346">
        <f t="shared" si="1"/>
        <v>37</v>
      </c>
      <c r="N48" s="346">
        <f>+'Other Chorus Results'!EE48</f>
        <v>26</v>
      </c>
    </row>
    <row r="49" spans="1:14" s="284" customFormat="1" ht="18" customHeight="1" x14ac:dyDescent="0.2">
      <c r="A49" s="283">
        <v>2018</v>
      </c>
      <c r="B49" s="284" t="s">
        <v>4575</v>
      </c>
      <c r="C49" s="627">
        <f>1471/1800</f>
        <v>0.81720000000000004</v>
      </c>
      <c r="D49" s="325">
        <v>56</v>
      </c>
      <c r="E49" s="284" t="s">
        <v>4576</v>
      </c>
      <c r="F49" s="627">
        <f>1463/1800</f>
        <v>0.81279999999999997</v>
      </c>
      <c r="G49" s="325">
        <v>66</v>
      </c>
      <c r="H49" s="284" t="s">
        <v>4472</v>
      </c>
      <c r="I49" s="627">
        <f>1438/1800</f>
        <v>0.79890000000000005</v>
      </c>
      <c r="J49" s="325">
        <v>20</v>
      </c>
      <c r="K49" s="294"/>
      <c r="L49" s="346">
        <f>+'Other Chorus Results'!ED49</f>
        <v>957</v>
      </c>
      <c r="M49" s="346">
        <f t="shared" si="1"/>
        <v>35</v>
      </c>
      <c r="N49" s="346">
        <f>+'Other Chorus Results'!EE49</f>
        <v>27</v>
      </c>
    </row>
    <row r="50" spans="1:14" s="284" customFormat="1" ht="18" customHeight="1" x14ac:dyDescent="0.2">
      <c r="A50" s="283">
        <v>2019</v>
      </c>
      <c r="B50" s="284" t="s">
        <v>4741</v>
      </c>
      <c r="C50" s="627">
        <f>1497/1800</f>
        <v>0.83169999999999999</v>
      </c>
      <c r="D50" s="325">
        <v>78</v>
      </c>
      <c r="E50" s="284" t="s">
        <v>4744</v>
      </c>
      <c r="F50" s="627">
        <f>1448/1800</f>
        <v>0.8044</v>
      </c>
      <c r="G50" s="325">
        <v>21</v>
      </c>
      <c r="H50" s="284" t="s">
        <v>4745</v>
      </c>
      <c r="I50" s="627">
        <f>1447/1800</f>
        <v>0.80389999999999995</v>
      </c>
      <c r="J50" s="325">
        <v>36</v>
      </c>
      <c r="K50" s="294"/>
      <c r="L50" s="346">
        <f>+'Other Chorus Results'!ED50</f>
        <v>846</v>
      </c>
      <c r="M50" s="346">
        <f t="shared" si="1"/>
        <v>35</v>
      </c>
      <c r="N50" s="346">
        <f>+'Other Chorus Results'!EE50</f>
        <v>24</v>
      </c>
    </row>
    <row r="51" spans="1:14" s="294" customFormat="1" ht="18" customHeight="1" x14ac:dyDescent="0.2">
      <c r="A51" s="292"/>
      <c r="B51" s="328"/>
      <c r="C51" s="628"/>
      <c r="D51" s="329"/>
      <c r="E51" s="328"/>
      <c r="F51" s="628"/>
      <c r="G51" s="329"/>
      <c r="H51" s="328"/>
      <c r="I51" s="628"/>
      <c r="J51" s="329"/>
    </row>
    <row r="52" spans="1:14" ht="18" customHeight="1" x14ac:dyDescent="0.2">
      <c r="B52" s="613" t="s">
        <v>4637</v>
      </c>
      <c r="D52" s="289">
        <v>44</v>
      </c>
      <c r="E52" s="285" t="s">
        <v>4746</v>
      </c>
    </row>
    <row r="53" spans="1:14" ht="18" customHeight="1" x14ac:dyDescent="0.2">
      <c r="B53" s="690" t="s">
        <v>2453</v>
      </c>
      <c r="C53" s="690"/>
    </row>
    <row r="55" spans="1:14" ht="18" customHeight="1" x14ac:dyDescent="0.2">
      <c r="A55" s="335">
        <v>1</v>
      </c>
      <c r="B55" s="336" t="s">
        <v>318</v>
      </c>
      <c r="C55" s="289">
        <v>19</v>
      </c>
    </row>
    <row r="56" spans="1:14" ht="18" customHeight="1" x14ac:dyDescent="0.2">
      <c r="A56" s="338">
        <v>2</v>
      </c>
      <c r="B56" s="287" t="s">
        <v>332</v>
      </c>
      <c r="C56" s="289">
        <v>18</v>
      </c>
    </row>
    <row r="57" spans="1:14" ht="18" customHeight="1" x14ac:dyDescent="0.2">
      <c r="A57" s="338">
        <v>3</v>
      </c>
      <c r="B57" s="287" t="s">
        <v>338</v>
      </c>
      <c r="C57" s="289">
        <v>14</v>
      </c>
    </row>
    <row r="58" spans="1:14" ht="18" customHeight="1" x14ac:dyDescent="0.2">
      <c r="A58" s="338">
        <v>4</v>
      </c>
      <c r="B58" s="287" t="s">
        <v>2454</v>
      </c>
      <c r="C58" s="289">
        <v>11</v>
      </c>
    </row>
    <row r="59" spans="1:14" ht="18" customHeight="1" x14ac:dyDescent="0.2">
      <c r="A59" s="338">
        <v>5</v>
      </c>
      <c r="B59" s="287" t="s">
        <v>117</v>
      </c>
      <c r="C59" s="289">
        <v>11</v>
      </c>
    </row>
    <row r="60" spans="1:14" ht="18" customHeight="1" x14ac:dyDescent="0.2">
      <c r="A60" s="338">
        <v>6</v>
      </c>
      <c r="B60" s="287" t="s">
        <v>3287</v>
      </c>
      <c r="C60" s="289">
        <v>10</v>
      </c>
    </row>
    <row r="61" spans="1:14" ht="18" customHeight="1" x14ac:dyDescent="0.2">
      <c r="A61" s="338">
        <v>7</v>
      </c>
      <c r="B61" s="287" t="s">
        <v>2029</v>
      </c>
      <c r="C61" s="289">
        <v>9</v>
      </c>
    </row>
    <row r="62" spans="1:14" ht="18" customHeight="1" x14ac:dyDescent="0.2">
      <c r="A62" s="338">
        <v>8</v>
      </c>
      <c r="B62" s="287" t="s">
        <v>3405</v>
      </c>
      <c r="C62" s="289">
        <v>7</v>
      </c>
    </row>
    <row r="63" spans="1:14" ht="18" customHeight="1" x14ac:dyDescent="0.2">
      <c r="A63" s="338">
        <v>9</v>
      </c>
      <c r="B63" s="287" t="s">
        <v>3406</v>
      </c>
      <c r="C63" s="289">
        <v>7</v>
      </c>
    </row>
    <row r="64" spans="1:14" ht="18" customHeight="1" x14ac:dyDescent="0.2">
      <c r="A64" s="338">
        <v>10</v>
      </c>
      <c r="B64" s="287" t="s">
        <v>4107</v>
      </c>
      <c r="C64" s="289">
        <v>4</v>
      </c>
    </row>
    <row r="65" spans="1:10" ht="18" customHeight="1" x14ac:dyDescent="0.2">
      <c r="A65" s="338">
        <v>11</v>
      </c>
      <c r="B65" s="287" t="s">
        <v>314</v>
      </c>
      <c r="C65" s="289">
        <v>4</v>
      </c>
    </row>
    <row r="66" spans="1:10" ht="18" customHeight="1" x14ac:dyDescent="0.2">
      <c r="A66" s="338">
        <v>12</v>
      </c>
      <c r="B66" s="287" t="s">
        <v>2563</v>
      </c>
      <c r="C66" s="289">
        <v>3</v>
      </c>
    </row>
    <row r="67" spans="1:10" ht="18" customHeight="1" x14ac:dyDescent="0.2">
      <c r="A67" s="338">
        <v>13</v>
      </c>
      <c r="B67" s="287" t="s">
        <v>2451</v>
      </c>
      <c r="C67" s="289">
        <v>3</v>
      </c>
    </row>
    <row r="68" spans="1:10" ht="18" customHeight="1" x14ac:dyDescent="0.2">
      <c r="A68" s="338">
        <v>14</v>
      </c>
      <c r="B68" s="287" t="s">
        <v>2035</v>
      </c>
      <c r="C68" s="289">
        <v>1</v>
      </c>
    </row>
    <row r="69" spans="1:10" ht="18" customHeight="1" x14ac:dyDescent="0.2">
      <c r="A69" s="338">
        <v>15</v>
      </c>
      <c r="B69" s="287" t="s">
        <v>2010</v>
      </c>
      <c r="C69" s="289">
        <v>1</v>
      </c>
    </row>
    <row r="70" spans="1:10" ht="18" customHeight="1" x14ac:dyDescent="0.2">
      <c r="A70" s="342">
        <v>16</v>
      </c>
      <c r="B70" s="330" t="s">
        <v>1150</v>
      </c>
      <c r="C70" s="289">
        <v>1</v>
      </c>
    </row>
    <row r="72" spans="1:10" ht="18" customHeight="1" x14ac:dyDescent="0.2">
      <c r="A72" s="682" t="s">
        <v>2455</v>
      </c>
      <c r="B72" s="683"/>
      <c r="C72" s="682" t="s">
        <v>3402</v>
      </c>
      <c r="D72" s="684"/>
      <c r="E72" s="684"/>
      <c r="F72" s="684" t="s">
        <v>3403</v>
      </c>
      <c r="G72" s="684"/>
      <c r="H72" s="683"/>
      <c r="I72" s="334" t="s">
        <v>3404</v>
      </c>
    </row>
    <row r="73" spans="1:10" ht="18" customHeight="1" x14ac:dyDescent="0.2">
      <c r="A73" s="335">
        <v>10</v>
      </c>
      <c r="B73" s="336" t="s">
        <v>318</v>
      </c>
      <c r="C73" s="335">
        <v>5</v>
      </c>
      <c r="D73" s="337"/>
      <c r="E73" s="336" t="str">
        <f t="shared" ref="E73:E88" si="2">+B73</f>
        <v>Great Western</v>
      </c>
      <c r="F73" s="335">
        <v>6</v>
      </c>
      <c r="G73" s="337"/>
      <c r="H73" s="336" t="str">
        <f t="shared" ref="H73:H88" si="3">+B73</f>
        <v>Great Western</v>
      </c>
      <c r="I73" s="289">
        <v>1</v>
      </c>
      <c r="J73" s="289">
        <f t="shared" ref="J73:J88" si="4">+A73+C73+F73</f>
        <v>21</v>
      </c>
    </row>
    <row r="74" spans="1:10" ht="18" customHeight="1" x14ac:dyDescent="0.2">
      <c r="A74" s="338">
        <v>8</v>
      </c>
      <c r="B74" s="287" t="s">
        <v>332</v>
      </c>
      <c r="C74" s="338">
        <v>8</v>
      </c>
      <c r="D74" s="339"/>
      <c r="E74" s="287" t="str">
        <f t="shared" si="2"/>
        <v>Hallmark of Harmony</v>
      </c>
      <c r="F74" s="338">
        <v>4</v>
      </c>
      <c r="G74" s="339"/>
      <c r="H74" s="287" t="str">
        <f t="shared" si="3"/>
        <v>Hallmark of Harmony</v>
      </c>
      <c r="I74" s="289">
        <v>2</v>
      </c>
      <c r="J74" s="289">
        <f t="shared" si="4"/>
        <v>20</v>
      </c>
    </row>
    <row r="75" spans="1:10" ht="18" customHeight="1" x14ac:dyDescent="0.2">
      <c r="A75" s="338">
        <v>7</v>
      </c>
      <c r="B75" s="287" t="s">
        <v>2454</v>
      </c>
      <c r="C75" s="338">
        <v>4</v>
      </c>
      <c r="D75" s="339"/>
      <c r="E75" s="287" t="str">
        <f t="shared" si="2"/>
        <v>Cotton Town</v>
      </c>
      <c r="F75" s="338">
        <v>1</v>
      </c>
      <c r="G75" s="339"/>
      <c r="H75" s="287" t="str">
        <f t="shared" si="3"/>
        <v>Cotton Town</v>
      </c>
      <c r="I75" s="289">
        <v>3</v>
      </c>
      <c r="J75" s="289">
        <f t="shared" si="4"/>
        <v>12</v>
      </c>
    </row>
    <row r="76" spans="1:10" ht="18" customHeight="1" x14ac:dyDescent="0.2">
      <c r="A76" s="338">
        <v>5</v>
      </c>
      <c r="B76" s="287" t="s">
        <v>338</v>
      </c>
      <c r="C76" s="338">
        <v>5</v>
      </c>
      <c r="D76" s="339"/>
      <c r="E76" s="287" t="str">
        <f t="shared" si="2"/>
        <v>Grand Central</v>
      </c>
      <c r="F76" s="338">
        <v>6</v>
      </c>
      <c r="G76" s="339"/>
      <c r="H76" s="287" t="str">
        <f t="shared" si="3"/>
        <v>Grand Central</v>
      </c>
      <c r="I76" s="289">
        <v>4</v>
      </c>
      <c r="J76" s="289">
        <f t="shared" si="4"/>
        <v>16</v>
      </c>
    </row>
    <row r="77" spans="1:10" ht="18" customHeight="1" x14ac:dyDescent="0.2">
      <c r="A77" s="338">
        <v>4</v>
      </c>
      <c r="B77" s="287" t="s">
        <v>3287</v>
      </c>
      <c r="C77" s="338">
        <v>6</v>
      </c>
      <c r="D77" s="339"/>
      <c r="E77" s="287" t="str">
        <f t="shared" si="2"/>
        <v>Cambridge</v>
      </c>
      <c r="F77" s="338"/>
      <c r="G77" s="339"/>
      <c r="H77" s="287" t="str">
        <f t="shared" si="3"/>
        <v>Cambridge</v>
      </c>
      <c r="I77" s="289">
        <v>5</v>
      </c>
      <c r="J77" s="289">
        <f t="shared" si="4"/>
        <v>10</v>
      </c>
    </row>
    <row r="78" spans="1:10" ht="18" customHeight="1" x14ac:dyDescent="0.2">
      <c r="A78" s="338">
        <v>4</v>
      </c>
      <c r="B78" s="341" t="s">
        <v>2029</v>
      </c>
      <c r="C78" s="338">
        <v>2</v>
      </c>
      <c r="D78" s="339"/>
      <c r="E78" s="287" t="str">
        <f t="shared" si="2"/>
        <v>Crawley</v>
      </c>
      <c r="F78" s="338">
        <v>3</v>
      </c>
      <c r="G78" s="339"/>
      <c r="H78" s="287" t="str">
        <f t="shared" si="3"/>
        <v>Crawley</v>
      </c>
      <c r="I78" s="289">
        <v>6</v>
      </c>
      <c r="J78" s="289">
        <f t="shared" si="4"/>
        <v>9</v>
      </c>
    </row>
    <row r="79" spans="1:10" ht="18" customHeight="1" x14ac:dyDescent="0.2">
      <c r="A79" s="338">
        <v>2</v>
      </c>
      <c r="B79" s="341" t="s">
        <v>3405</v>
      </c>
      <c r="C79" s="338">
        <v>3</v>
      </c>
      <c r="D79" s="339"/>
      <c r="E79" s="287" t="str">
        <f t="shared" si="2"/>
        <v>Pilgrimaires</v>
      </c>
      <c r="F79" s="338">
        <v>2</v>
      </c>
      <c r="G79" s="339"/>
      <c r="H79" s="287" t="str">
        <f t="shared" si="3"/>
        <v>Pilgrimaires</v>
      </c>
      <c r="I79" s="289">
        <v>7</v>
      </c>
      <c r="J79" s="289">
        <f t="shared" si="4"/>
        <v>7</v>
      </c>
    </row>
    <row r="80" spans="1:10" ht="18" customHeight="1" x14ac:dyDescent="0.2">
      <c r="A80" s="338">
        <v>2</v>
      </c>
      <c r="B80" s="287" t="s">
        <v>4107</v>
      </c>
      <c r="C80" s="338">
        <v>1</v>
      </c>
      <c r="D80" s="339"/>
      <c r="E80" s="287" t="str">
        <f t="shared" si="2"/>
        <v>Shannon Express</v>
      </c>
      <c r="F80" s="338">
        <v>1</v>
      </c>
      <c r="G80" s="339"/>
      <c r="H80" s="287" t="str">
        <f t="shared" si="3"/>
        <v>Shannon Express</v>
      </c>
      <c r="I80" s="289">
        <v>8</v>
      </c>
      <c r="J80" s="289">
        <f t="shared" si="4"/>
        <v>4</v>
      </c>
    </row>
    <row r="81" spans="1:10" ht="18" customHeight="1" x14ac:dyDescent="0.2">
      <c r="A81" s="338">
        <v>1</v>
      </c>
      <c r="B81" s="341" t="s">
        <v>3406</v>
      </c>
      <c r="C81" s="338">
        <v>2</v>
      </c>
      <c r="D81" s="339"/>
      <c r="E81" s="287" t="str">
        <f t="shared" si="2"/>
        <v>Roker Peers</v>
      </c>
      <c r="F81" s="338">
        <v>4</v>
      </c>
      <c r="G81" s="339"/>
      <c r="H81" s="287" t="str">
        <f t="shared" si="3"/>
        <v>Roker Peers</v>
      </c>
      <c r="I81" s="289">
        <v>9</v>
      </c>
      <c r="J81" s="289">
        <f t="shared" si="4"/>
        <v>7</v>
      </c>
    </row>
    <row r="82" spans="1:10" ht="18" customHeight="1" x14ac:dyDescent="0.2">
      <c r="A82" s="338">
        <v>1</v>
      </c>
      <c r="B82" s="287" t="s">
        <v>2563</v>
      </c>
      <c r="C82" s="338"/>
      <c r="D82" s="339"/>
      <c r="E82" s="287" t="str">
        <f t="shared" si="2"/>
        <v>Rainy City</v>
      </c>
      <c r="F82" s="338">
        <v>2</v>
      </c>
      <c r="G82" s="339"/>
      <c r="H82" s="287" t="str">
        <f t="shared" si="3"/>
        <v>Rainy City</v>
      </c>
      <c r="I82" s="289">
        <v>10</v>
      </c>
      <c r="J82" s="289">
        <f t="shared" si="4"/>
        <v>3</v>
      </c>
    </row>
    <row r="83" spans="1:10" ht="18" customHeight="1" x14ac:dyDescent="0.2">
      <c r="A83" s="338"/>
      <c r="B83" s="287" t="s">
        <v>117</v>
      </c>
      <c r="C83" s="338">
        <v>4</v>
      </c>
      <c r="D83" s="339"/>
      <c r="E83" s="287" t="str">
        <f t="shared" si="2"/>
        <v>Thames Valley Chorus</v>
      </c>
      <c r="F83" s="338">
        <v>7</v>
      </c>
      <c r="G83" s="339"/>
      <c r="H83" s="287" t="str">
        <f t="shared" si="3"/>
        <v>Thames Valley Chorus</v>
      </c>
      <c r="I83" s="289">
        <v>11</v>
      </c>
      <c r="J83" s="289">
        <f t="shared" si="4"/>
        <v>11</v>
      </c>
    </row>
    <row r="84" spans="1:10" ht="18" customHeight="1" x14ac:dyDescent="0.2">
      <c r="A84" s="338"/>
      <c r="B84" s="287" t="s">
        <v>2451</v>
      </c>
      <c r="C84" s="338">
        <v>2</v>
      </c>
      <c r="D84" s="339"/>
      <c r="E84" s="287" t="str">
        <f t="shared" si="2"/>
        <v>Royal Harmonics</v>
      </c>
      <c r="F84" s="338">
        <v>1</v>
      </c>
      <c r="G84" s="339"/>
      <c r="H84" s="287" t="str">
        <f t="shared" si="3"/>
        <v>Royal Harmonics</v>
      </c>
      <c r="I84" s="289">
        <v>12</v>
      </c>
      <c r="J84" s="289">
        <f t="shared" si="4"/>
        <v>3</v>
      </c>
    </row>
    <row r="85" spans="1:10" ht="18" customHeight="1" x14ac:dyDescent="0.2">
      <c r="A85" s="338"/>
      <c r="B85" s="287" t="s">
        <v>4489</v>
      </c>
      <c r="C85" s="338">
        <v>1</v>
      </c>
      <c r="D85" s="339"/>
      <c r="E85" s="287" t="str">
        <f t="shared" si="2"/>
        <v>Meantime</v>
      </c>
      <c r="F85" s="338">
        <v>1</v>
      </c>
      <c r="G85" s="339"/>
      <c r="H85" s="287" t="str">
        <f t="shared" si="3"/>
        <v>Meantime</v>
      </c>
      <c r="I85" s="289">
        <v>16</v>
      </c>
      <c r="J85" s="289">
        <f t="shared" si="4"/>
        <v>2</v>
      </c>
    </row>
    <row r="86" spans="1:10" ht="18" customHeight="1" x14ac:dyDescent="0.2">
      <c r="A86" s="338"/>
      <c r="B86" s="287" t="s">
        <v>2035</v>
      </c>
      <c r="C86" s="338">
        <v>1</v>
      </c>
      <c r="D86" s="339"/>
      <c r="E86" s="287" t="str">
        <f t="shared" si="2"/>
        <v>Tyneside</v>
      </c>
      <c r="F86" s="338"/>
      <c r="G86" s="339"/>
      <c r="H86" s="287" t="str">
        <f t="shared" si="3"/>
        <v>Tyneside</v>
      </c>
      <c r="I86" s="289">
        <v>13</v>
      </c>
      <c r="J86" s="289">
        <f t="shared" si="4"/>
        <v>1</v>
      </c>
    </row>
    <row r="87" spans="1:10" ht="18" customHeight="1" x14ac:dyDescent="0.2">
      <c r="A87" s="338"/>
      <c r="B87" s="287" t="s">
        <v>314</v>
      </c>
      <c r="C87" s="338"/>
      <c r="D87" s="339"/>
      <c r="E87" s="287" t="str">
        <f t="shared" si="2"/>
        <v>Spirit of Harmony</v>
      </c>
      <c r="F87" s="338">
        <v>4</v>
      </c>
      <c r="G87" s="339"/>
      <c r="H87" s="287" t="str">
        <f t="shared" si="3"/>
        <v>Spirit of Harmony</v>
      </c>
      <c r="I87" s="289">
        <v>14</v>
      </c>
      <c r="J87" s="339">
        <f t="shared" si="4"/>
        <v>4</v>
      </c>
    </row>
    <row r="88" spans="1:10" ht="18" customHeight="1" x14ac:dyDescent="0.2">
      <c r="A88" s="338"/>
      <c r="B88" s="287" t="s">
        <v>2010</v>
      </c>
      <c r="C88" s="338"/>
      <c r="D88" s="339"/>
      <c r="E88" s="287" t="str">
        <f t="shared" si="2"/>
        <v xml:space="preserve">Anvil </v>
      </c>
      <c r="F88" s="338">
        <v>1</v>
      </c>
      <c r="G88" s="339"/>
      <c r="H88" s="287" t="str">
        <f t="shared" si="3"/>
        <v xml:space="preserve">Anvil </v>
      </c>
      <c r="I88" s="289">
        <v>15</v>
      </c>
      <c r="J88" s="289">
        <f t="shared" si="4"/>
        <v>1</v>
      </c>
    </row>
    <row r="89" spans="1:10" ht="18" customHeight="1" x14ac:dyDescent="0.2">
      <c r="A89" s="342"/>
      <c r="B89" s="330" t="s">
        <v>1150</v>
      </c>
      <c r="C89" s="342"/>
      <c r="D89" s="343"/>
      <c r="E89" s="330" t="str">
        <f t="shared" ref="E89" si="5">+B89</f>
        <v>Mantunian Way</v>
      </c>
      <c r="F89" s="342">
        <v>1</v>
      </c>
      <c r="G89" s="343"/>
      <c r="H89" s="330" t="str">
        <f t="shared" ref="H89" si="6">+B89</f>
        <v>Mantunian Way</v>
      </c>
      <c r="I89" s="342">
        <v>17</v>
      </c>
      <c r="J89" s="343">
        <f t="shared" ref="J89" si="7">+A89+C89+F89</f>
        <v>1</v>
      </c>
    </row>
    <row r="90" spans="1:10" ht="18" customHeight="1" x14ac:dyDescent="0.2">
      <c r="A90" s="614">
        <f>SUM(A73:A89)</f>
        <v>44</v>
      </c>
      <c r="B90" s="284"/>
      <c r="C90" s="614">
        <f>SUM(C73:C89)</f>
        <v>44</v>
      </c>
      <c r="D90" s="339"/>
      <c r="E90" s="284"/>
      <c r="F90" s="614">
        <f>SUM(F73:F89)</f>
        <v>44</v>
      </c>
      <c r="G90" s="339"/>
      <c r="H90" s="284" t="s">
        <v>4636</v>
      </c>
      <c r="I90" s="289">
        <f>+I89</f>
        <v>17</v>
      </c>
      <c r="J90" s="289">
        <f>SUM(J73:J89)</f>
        <v>132</v>
      </c>
    </row>
    <row r="91" spans="1:10" ht="18" customHeight="1" x14ac:dyDescent="0.2">
      <c r="B91" s="294"/>
      <c r="E91" s="294"/>
      <c r="H91" s="294" t="s">
        <v>4574</v>
      </c>
      <c r="I91" s="339">
        <v>40</v>
      </c>
    </row>
    <row r="92" spans="1:10" ht="18" customHeight="1" x14ac:dyDescent="0.2">
      <c r="B92" s="294"/>
      <c r="E92" s="294"/>
      <c r="H92" s="294"/>
      <c r="I92" s="339"/>
    </row>
    <row r="93" spans="1:10" ht="18" customHeight="1" thickBot="1" x14ac:dyDescent="0.25">
      <c r="B93" s="294"/>
      <c r="E93" s="294"/>
      <c r="H93" s="294" t="s">
        <v>3407</v>
      </c>
      <c r="I93" s="344">
        <f>+I89+I91+2</f>
        <v>59</v>
      </c>
    </row>
    <row r="94" spans="1:10" ht="18" customHeight="1" thickTop="1" x14ac:dyDescent="0.2">
      <c r="B94" s="331"/>
      <c r="E94" s="294"/>
      <c r="H94" s="294"/>
    </row>
    <row r="95" spans="1:10" ht="18" customHeight="1" x14ac:dyDescent="0.2">
      <c r="B95" s="331"/>
      <c r="E95" s="294"/>
      <c r="H95" s="294"/>
    </row>
    <row r="96" spans="1:10" ht="18" customHeight="1" x14ac:dyDescent="0.2">
      <c r="B96" s="331"/>
      <c r="E96" s="294"/>
      <c r="H96" s="294"/>
    </row>
    <row r="97" spans="2:8" ht="18" customHeight="1" x14ac:dyDescent="0.2">
      <c r="B97" s="294"/>
      <c r="E97" s="294"/>
      <c r="H97" s="294"/>
    </row>
    <row r="98" spans="2:8" ht="18" customHeight="1" x14ac:dyDescent="0.2">
      <c r="B98" s="294"/>
      <c r="E98" s="294"/>
      <c r="H98" s="294"/>
    </row>
    <row r="99" spans="2:8" ht="18" customHeight="1" x14ac:dyDescent="0.2">
      <c r="B99" s="294"/>
      <c r="E99" s="294"/>
      <c r="H99" s="294"/>
    </row>
    <row r="100" spans="2:8" ht="18" customHeight="1" x14ac:dyDescent="0.2">
      <c r="B100" s="294"/>
      <c r="E100" s="294"/>
      <c r="H100" s="294"/>
    </row>
    <row r="101" spans="2:8" ht="18" customHeight="1" x14ac:dyDescent="0.2">
      <c r="B101" s="294"/>
      <c r="E101" s="294"/>
      <c r="H101" s="294"/>
    </row>
    <row r="102" spans="2:8" ht="18" customHeight="1" x14ac:dyDescent="0.2">
      <c r="B102" s="331"/>
      <c r="E102" s="294"/>
      <c r="H102" s="294"/>
    </row>
    <row r="103" spans="2:8" ht="18" customHeight="1" x14ac:dyDescent="0.2">
      <c r="E103" s="294"/>
      <c r="H103" s="332"/>
    </row>
    <row r="104" spans="2:8" ht="18" customHeight="1" x14ac:dyDescent="0.2">
      <c r="E104" s="294"/>
      <c r="H104" s="332"/>
    </row>
    <row r="105" spans="2:8" ht="18" customHeight="1" x14ac:dyDescent="0.2">
      <c r="E105" s="332"/>
      <c r="H105" s="332"/>
    </row>
    <row r="106" spans="2:8" ht="18" customHeight="1" x14ac:dyDescent="0.2">
      <c r="E106" s="332"/>
      <c r="H106" s="332"/>
    </row>
    <row r="107" spans="2:8" ht="18" customHeight="1" x14ac:dyDescent="0.2">
      <c r="E107" s="332"/>
      <c r="H107" s="332"/>
    </row>
    <row r="108" spans="2:8" ht="18" customHeight="1" x14ac:dyDescent="0.2">
      <c r="H108" s="332"/>
    </row>
  </sheetData>
  <sortState xmlns:xlrd2="http://schemas.microsoft.com/office/spreadsheetml/2017/richdata2" ref="A73:N88">
    <sortCondition descending="1" ref="A73:A88"/>
    <sortCondition descending="1" ref="C73:C88"/>
    <sortCondition descending="1" ref="F73:F88"/>
  </sortState>
  <mergeCells count="10">
    <mergeCell ref="A72:B72"/>
    <mergeCell ref="C72:E72"/>
    <mergeCell ref="F72:H72"/>
    <mergeCell ref="B10:J10"/>
    <mergeCell ref="A1:J1"/>
    <mergeCell ref="H3:J3"/>
    <mergeCell ref="E3:G3"/>
    <mergeCell ref="B3:D3"/>
    <mergeCell ref="B5:J5"/>
    <mergeCell ref="B53:C53"/>
  </mergeCells>
  <phoneticPr fontId="9" type="noConversion"/>
  <hyperlinks>
    <hyperlink ref="A34" r:id="rId1" display="http://www.cambridgechordco.org.uk/" xr:uid="{00000000-0004-0000-0500-000000000000}"/>
    <hyperlink ref="A35" r:id="rId2" display="http://www.cambridgechordco.org.uk/" xr:uid="{00000000-0004-0000-0500-000001000000}"/>
    <hyperlink ref="A36" r:id="rId3" display="http://www.cambridgechordco.org.uk/" xr:uid="{00000000-0004-0000-0500-000002000000}"/>
  </hyperlinks>
  <printOptions horizontalCentered="1"/>
  <pageMargins left="0" right="0" top="0" bottom="0" header="0" footer="0"/>
  <pageSetup paperSize="9" scale="60" fitToHeight="2" orientation="landscape" r:id="rId4"/>
  <headerFooter alignWithMargins="0"/>
  <rowBreaks count="1" manualBreakCount="1"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Q52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67" sqref="H67"/>
    </sheetView>
  </sheetViews>
  <sheetFormatPr defaultColWidth="9" defaultRowHeight="18" customHeight="1" x14ac:dyDescent="0.2"/>
  <cols>
    <col min="1" max="1" width="6.44140625" style="289" customWidth="1"/>
    <col min="2" max="2" width="55.77734375" style="285" customWidth="1"/>
    <col min="3" max="3" width="9.44140625" style="289" customWidth="1"/>
    <col min="4" max="4" width="4.33203125" style="289" customWidth="1"/>
    <col min="5" max="5" width="49.88671875" style="285" customWidth="1"/>
    <col min="6" max="6" width="9.6640625" style="289" customWidth="1"/>
    <col min="7" max="7" width="4.109375" style="289" customWidth="1"/>
    <col min="8" max="8" width="53.6640625" style="285" customWidth="1"/>
    <col min="9" max="9" width="10.33203125" style="289" bestFit="1" customWidth="1"/>
    <col min="10" max="10" width="4.21875" style="285" customWidth="1"/>
    <col min="11" max="11" width="50.44140625" style="285" customWidth="1"/>
    <col min="12" max="12" width="10.33203125" style="285" bestFit="1" customWidth="1"/>
    <col min="13" max="13" width="4.88671875" style="285" customWidth="1"/>
    <col min="14" max="14" width="47.21875" style="285" customWidth="1"/>
    <col min="15" max="15" width="9" style="285" bestFit="1" customWidth="1"/>
    <col min="16" max="16" width="6.109375" style="285" customWidth="1"/>
    <col min="17" max="17" width="51.33203125" style="285" customWidth="1"/>
    <col min="18" max="18" width="9" style="285" bestFit="1" customWidth="1"/>
    <col min="19" max="19" width="5.44140625" style="289" bestFit="1" customWidth="1"/>
    <col min="20" max="20" width="47.21875" style="285" customWidth="1"/>
    <col min="21" max="21" width="9" style="285" bestFit="1" customWidth="1"/>
    <col min="22" max="22" width="4.44140625" style="285" customWidth="1"/>
    <col min="23" max="23" width="47.44140625" style="285" customWidth="1"/>
    <col min="24" max="24" width="9" style="285" bestFit="1" customWidth="1"/>
    <col min="25" max="25" width="4.88671875" style="285" customWidth="1"/>
    <col min="26" max="26" width="51" style="285" customWidth="1"/>
    <col min="27" max="27" width="10.33203125" style="285" bestFit="1" customWidth="1"/>
    <col min="28" max="28" width="4.88671875" style="289" customWidth="1"/>
    <col min="29" max="29" width="52.109375" style="285" customWidth="1"/>
    <col min="30" max="30" width="10.33203125" style="285" bestFit="1" customWidth="1"/>
    <col min="31" max="31" width="5" style="285" customWidth="1"/>
    <col min="32" max="32" width="44.33203125" style="285" customWidth="1"/>
    <col min="33" max="33" width="10.33203125" style="285" bestFit="1" customWidth="1"/>
    <col min="34" max="34" width="5.88671875" style="285" customWidth="1"/>
    <col min="35" max="35" width="50" style="285" customWidth="1"/>
    <col min="36" max="36" width="9" style="285" bestFit="1" customWidth="1"/>
    <col min="37" max="37" width="5" style="289" customWidth="1"/>
    <col min="38" max="38" width="48.77734375" style="285" customWidth="1"/>
    <col min="39" max="39" width="10.33203125" style="285" bestFit="1" customWidth="1"/>
    <col min="40" max="40" width="4.88671875" style="285" customWidth="1"/>
    <col min="41" max="41" width="44.77734375" style="285" customWidth="1"/>
    <col min="42" max="42" width="10.33203125" style="285" bestFit="1" customWidth="1"/>
    <col min="43" max="43" width="4.44140625" style="285" customWidth="1"/>
    <col min="44" max="44" width="53.88671875" style="285" customWidth="1"/>
    <col min="45" max="45" width="9" style="285" bestFit="1" customWidth="1"/>
    <col min="46" max="46" width="5.44140625" style="289" customWidth="1"/>
    <col min="47" max="47" width="51.6640625" style="285" customWidth="1"/>
    <col min="48" max="48" width="9" style="285" bestFit="1" customWidth="1"/>
    <col min="49" max="49" width="5" style="289" customWidth="1"/>
    <col min="50" max="50" width="47.77734375" style="285" customWidth="1"/>
    <col min="51" max="51" width="9" style="285" bestFit="1" customWidth="1"/>
    <col min="52" max="52" width="4.77734375" style="285" customWidth="1"/>
    <col min="53" max="53" width="46.88671875" style="285" customWidth="1"/>
    <col min="54" max="54" width="10.33203125" style="285" bestFit="1" customWidth="1"/>
    <col min="55" max="55" width="5.21875" style="289" customWidth="1"/>
    <col min="56" max="56" width="45.109375" style="285" customWidth="1"/>
    <col min="57" max="57" width="9" style="285" bestFit="1" customWidth="1"/>
    <col min="58" max="58" width="5.6640625" style="289" customWidth="1"/>
    <col min="59" max="59" width="48.6640625" style="285" customWidth="1"/>
    <col min="60" max="60" width="10.33203125" style="285" bestFit="1" customWidth="1"/>
    <col min="61" max="61" width="5.6640625" style="285" customWidth="1"/>
    <col min="62" max="62" width="47.44140625" style="285" customWidth="1"/>
    <col min="63" max="63" width="9" style="285" bestFit="1" customWidth="1"/>
    <col min="64" max="64" width="4.6640625" style="289" customWidth="1"/>
    <col min="65" max="65" width="47.44140625" style="285" customWidth="1"/>
    <col min="66" max="66" width="9" style="285" bestFit="1" customWidth="1"/>
    <col min="67" max="67" width="5.44140625" style="289" customWidth="1"/>
    <col min="68" max="68" width="45.88671875" style="285" customWidth="1"/>
    <col min="69" max="69" width="9" style="285" bestFit="1" customWidth="1"/>
    <col min="70" max="70" width="5.6640625" style="289" customWidth="1"/>
    <col min="71" max="71" width="46.77734375" style="285" customWidth="1"/>
    <col min="72" max="72" width="9" style="285" bestFit="1" customWidth="1"/>
    <col min="73" max="73" width="6.88671875" style="289" customWidth="1"/>
    <col min="74" max="74" width="45" style="285" customWidth="1"/>
    <col min="75" max="75" width="9" style="285" bestFit="1" customWidth="1"/>
    <col min="76" max="76" width="6.33203125" style="289" customWidth="1"/>
    <col min="77" max="77" width="50.88671875" style="285" customWidth="1"/>
    <col min="78" max="78" width="9" style="285" bestFit="1" customWidth="1"/>
    <col min="79" max="79" width="5.33203125" style="289" customWidth="1"/>
    <col min="80" max="80" width="44.109375" style="285" customWidth="1"/>
    <col min="81" max="81" width="9" style="285" bestFit="1" customWidth="1"/>
    <col min="82" max="82" width="5.33203125" style="289" customWidth="1"/>
    <col min="83" max="83" width="51.109375" style="285" customWidth="1"/>
    <col min="84" max="84" width="9" style="285" bestFit="1" customWidth="1"/>
    <col min="85" max="85" width="4.33203125" style="289" customWidth="1"/>
    <col min="86" max="86" width="57.6640625" style="285" customWidth="1"/>
    <col min="87" max="87" width="9" style="285" bestFit="1" customWidth="1"/>
    <col min="88" max="88" width="4.109375" style="289" customWidth="1"/>
    <col min="89" max="89" width="49.33203125" style="285" customWidth="1"/>
    <col min="90" max="90" width="10.33203125" style="285" bestFit="1" customWidth="1"/>
    <col min="91" max="91" width="4.33203125" style="289" customWidth="1"/>
    <col min="92" max="92" width="44.77734375" style="285" customWidth="1"/>
    <col min="93" max="93" width="9" style="285" bestFit="1" customWidth="1"/>
    <col min="94" max="94" width="5" style="289" customWidth="1"/>
    <col min="95" max="95" width="46.33203125" style="285" customWidth="1"/>
    <col min="96" max="96" width="10.33203125" style="285" bestFit="1" customWidth="1"/>
    <col min="97" max="97" width="5.33203125" style="289" customWidth="1"/>
    <col min="98" max="98" width="46.77734375" style="285" customWidth="1"/>
    <col min="99" max="99" width="9" style="285" bestFit="1" customWidth="1"/>
    <col min="100" max="100" width="5.88671875" style="289" customWidth="1"/>
    <col min="101" max="101" width="49.77734375" style="285" customWidth="1"/>
    <col min="102" max="102" width="9" style="285" bestFit="1" customWidth="1"/>
    <col min="103" max="103" width="4.44140625" style="289" customWidth="1"/>
    <col min="104" max="104" width="49" style="285" customWidth="1"/>
    <col min="105" max="105" width="9" style="285" bestFit="1" customWidth="1"/>
    <col min="106" max="106" width="4.6640625" style="289" customWidth="1"/>
    <col min="107" max="107" width="50.109375" style="285" customWidth="1"/>
    <col min="108" max="108" width="9" style="285" bestFit="1" customWidth="1"/>
    <col min="109" max="109" width="6.109375" style="289" customWidth="1"/>
    <col min="110" max="110" width="53.6640625" style="285" customWidth="1"/>
    <col min="111" max="111" width="9" style="285" bestFit="1" customWidth="1"/>
    <col min="112" max="112" width="6.109375" style="289" customWidth="1"/>
    <col min="113" max="113" width="51.77734375" style="285" customWidth="1"/>
    <col min="114" max="114" width="9" style="285" bestFit="1" customWidth="1"/>
    <col min="115" max="115" width="6.109375" style="289" customWidth="1"/>
    <col min="116" max="116" width="51.77734375" style="285" customWidth="1"/>
    <col min="117" max="117" width="9" style="285" bestFit="1" customWidth="1"/>
    <col min="118" max="118" width="6.109375" style="289" customWidth="1"/>
    <col min="119" max="119" width="50.88671875" style="285" customWidth="1"/>
    <col min="120" max="120" width="9" style="285" bestFit="1" customWidth="1"/>
    <col min="121" max="121" width="6.109375" style="289" customWidth="1"/>
    <col min="122" max="122" width="51.109375" style="285" customWidth="1"/>
    <col min="123" max="123" width="9" style="285" bestFit="1" customWidth="1"/>
    <col min="124" max="124" width="6.109375" style="289" customWidth="1"/>
    <col min="125" max="125" width="50.88671875" style="285" customWidth="1"/>
    <col min="126" max="126" width="9" style="285" bestFit="1" customWidth="1"/>
    <col min="127" max="127" width="6.109375" style="289" customWidth="1"/>
    <col min="128" max="128" width="47.33203125" style="285" customWidth="1"/>
    <col min="129" max="129" width="9" style="285" bestFit="1" customWidth="1"/>
    <col min="130" max="130" width="6.109375" style="289" customWidth="1"/>
    <col min="131" max="132" width="11.88671875" style="345" customWidth="1"/>
    <col min="133" max="133" width="11.21875" style="345" customWidth="1"/>
    <col min="134" max="134" width="11.88671875" style="345" customWidth="1"/>
    <col min="135" max="135" width="9" style="345"/>
    <col min="136" max="16384" width="9" style="285"/>
  </cols>
  <sheetData>
    <row r="1" spans="1:147" ht="18" customHeight="1" x14ac:dyDescent="0.2">
      <c r="A1" s="688" t="s">
        <v>4308</v>
      </c>
      <c r="B1" s="688"/>
      <c r="C1" s="688"/>
      <c r="D1" s="688"/>
      <c r="E1" s="688"/>
      <c r="F1" s="688"/>
      <c r="G1" s="688"/>
      <c r="H1" s="688"/>
      <c r="I1" s="688"/>
      <c r="J1" s="688"/>
      <c r="K1" s="688" t="str">
        <f>+A1</f>
        <v>Chorus Competition Positions</v>
      </c>
      <c r="L1" s="688"/>
      <c r="M1" s="688"/>
      <c r="N1" s="688"/>
      <c r="O1" s="688"/>
      <c r="P1" s="688"/>
      <c r="Q1" s="688"/>
      <c r="R1" s="688"/>
      <c r="S1" s="688"/>
      <c r="T1" s="688" t="str">
        <f>+A1</f>
        <v>Chorus Competition Positions</v>
      </c>
      <c r="U1" s="688"/>
      <c r="V1" s="688"/>
      <c r="W1" s="688"/>
      <c r="X1" s="688"/>
      <c r="Y1" s="688"/>
      <c r="Z1" s="688"/>
      <c r="AA1" s="688"/>
      <c r="AB1" s="688"/>
      <c r="AC1" s="688" t="str">
        <f>+A1</f>
        <v>Chorus Competition Positions</v>
      </c>
      <c r="AD1" s="688"/>
      <c r="AE1" s="688"/>
      <c r="AF1" s="688"/>
      <c r="AG1" s="688"/>
      <c r="AH1" s="688"/>
      <c r="AI1" s="688"/>
      <c r="AJ1" s="688"/>
      <c r="AK1" s="688"/>
      <c r="AL1" s="688" t="str">
        <f>+A1</f>
        <v>Chorus Competition Positions</v>
      </c>
      <c r="AM1" s="688"/>
      <c r="AN1" s="688"/>
      <c r="AO1" s="688"/>
      <c r="AP1" s="688"/>
      <c r="AQ1" s="688"/>
      <c r="AR1" s="688"/>
      <c r="AS1" s="688"/>
      <c r="AT1" s="688"/>
      <c r="AU1" s="688" t="str">
        <f>+A1</f>
        <v>Chorus Competition Positions</v>
      </c>
      <c r="AV1" s="688"/>
      <c r="AW1" s="688"/>
      <c r="AX1" s="688"/>
      <c r="AY1" s="688"/>
      <c r="AZ1" s="688"/>
      <c r="BA1" s="688"/>
      <c r="BB1" s="688"/>
      <c r="BC1" s="688"/>
      <c r="BD1" s="688" t="str">
        <f>+A1</f>
        <v>Chorus Competition Positions</v>
      </c>
      <c r="BE1" s="688"/>
      <c r="BF1" s="688"/>
      <c r="BG1" s="688"/>
      <c r="BH1" s="688"/>
      <c r="BI1" s="688"/>
      <c r="BJ1" s="688"/>
      <c r="BK1" s="688"/>
      <c r="BL1" s="688"/>
      <c r="BM1" s="688" t="str">
        <f>+A1</f>
        <v>Chorus Competition Positions</v>
      </c>
      <c r="BN1" s="688"/>
      <c r="BO1" s="688"/>
      <c r="BP1" s="688"/>
      <c r="BQ1" s="688"/>
      <c r="BR1" s="688"/>
      <c r="BS1" s="688"/>
      <c r="BT1" s="688"/>
      <c r="BU1" s="688"/>
      <c r="BV1" s="688" t="str">
        <f>+A1</f>
        <v>Chorus Competition Positions</v>
      </c>
      <c r="BW1" s="688"/>
      <c r="BX1" s="688"/>
      <c r="BY1" s="688"/>
      <c r="BZ1" s="688"/>
      <c r="CA1" s="688"/>
      <c r="CB1" s="688"/>
      <c r="CC1" s="688"/>
      <c r="CD1" s="688"/>
      <c r="CE1" s="688" t="str">
        <f>+A1</f>
        <v>Chorus Competition Positions</v>
      </c>
      <c r="CF1" s="688"/>
      <c r="CG1" s="688"/>
      <c r="CH1" s="688"/>
      <c r="CI1" s="688"/>
      <c r="CJ1" s="688"/>
      <c r="CK1" s="688"/>
      <c r="CL1" s="688"/>
      <c r="CM1" s="688"/>
      <c r="CN1" s="688" t="str">
        <f>+A1</f>
        <v>Chorus Competition Positions</v>
      </c>
      <c r="CO1" s="688"/>
      <c r="CP1" s="688"/>
      <c r="CQ1" s="688"/>
      <c r="CR1" s="688"/>
      <c r="CS1" s="688"/>
      <c r="CT1" s="688"/>
      <c r="CU1" s="688"/>
      <c r="CV1" s="688"/>
      <c r="CW1" s="688" t="str">
        <f>+A1</f>
        <v>Chorus Competition Positions</v>
      </c>
      <c r="CX1" s="688"/>
      <c r="CY1" s="688"/>
      <c r="CZ1" s="688"/>
      <c r="DA1" s="688"/>
      <c r="DB1" s="688"/>
      <c r="DC1" s="688"/>
      <c r="DD1" s="688"/>
      <c r="DE1" s="688"/>
      <c r="DF1" s="688" t="str">
        <f>+A1</f>
        <v>Chorus Competition Positions</v>
      </c>
      <c r="DG1" s="688"/>
      <c r="DH1" s="688"/>
      <c r="DI1" s="688"/>
      <c r="DJ1" s="688"/>
      <c r="DK1" s="688"/>
      <c r="DL1" s="688"/>
      <c r="DM1" s="688"/>
      <c r="DN1" s="688"/>
      <c r="DO1" s="688" t="str">
        <f>+A1</f>
        <v>Chorus Competition Positions</v>
      </c>
      <c r="DP1" s="688"/>
      <c r="DQ1" s="688"/>
      <c r="DR1" s="688"/>
      <c r="DS1" s="688"/>
      <c r="DT1" s="688"/>
      <c r="DU1" s="688"/>
      <c r="DV1" s="688"/>
      <c r="DW1" s="688"/>
      <c r="DX1" s="551" t="str">
        <f>+A1</f>
        <v>Chorus Competition Positions</v>
      </c>
      <c r="DY1" s="551"/>
      <c r="DZ1" s="551"/>
      <c r="EA1" s="551"/>
      <c r="EB1" s="551"/>
      <c r="EC1" s="406"/>
      <c r="ED1" s="551"/>
      <c r="EE1" s="551"/>
      <c r="EF1" s="406"/>
      <c r="EG1" s="406"/>
      <c r="EH1" s="406"/>
    </row>
    <row r="3" spans="1:147" ht="18" customHeight="1" x14ac:dyDescent="0.2">
      <c r="B3" s="689" t="s">
        <v>3850</v>
      </c>
      <c r="C3" s="689"/>
      <c r="D3" s="689"/>
      <c r="E3" s="689" t="s">
        <v>3851</v>
      </c>
      <c r="F3" s="689"/>
      <c r="G3" s="689"/>
      <c r="H3" s="689" t="s">
        <v>3852</v>
      </c>
      <c r="I3" s="689"/>
      <c r="J3" s="689"/>
      <c r="K3" s="689" t="s">
        <v>3853</v>
      </c>
      <c r="L3" s="689"/>
      <c r="M3" s="689"/>
      <c r="N3" s="689" t="s">
        <v>3854</v>
      </c>
      <c r="O3" s="689"/>
      <c r="P3" s="689"/>
      <c r="Q3" s="689" t="s">
        <v>3855</v>
      </c>
      <c r="R3" s="689"/>
      <c r="S3" s="689"/>
      <c r="T3" s="689" t="s">
        <v>3856</v>
      </c>
      <c r="U3" s="689"/>
      <c r="V3" s="689"/>
      <c r="W3" s="689" t="s">
        <v>3857</v>
      </c>
      <c r="X3" s="689"/>
      <c r="Y3" s="689"/>
      <c r="Z3" s="689" t="s">
        <v>3858</v>
      </c>
      <c r="AA3" s="689"/>
      <c r="AB3" s="689"/>
      <c r="AC3" s="689" t="s">
        <v>3859</v>
      </c>
      <c r="AD3" s="689"/>
      <c r="AE3" s="689"/>
      <c r="AF3" s="689" t="s">
        <v>3860</v>
      </c>
      <c r="AG3" s="689"/>
      <c r="AH3" s="689"/>
      <c r="AI3" s="689" t="s">
        <v>3861</v>
      </c>
      <c r="AJ3" s="689"/>
      <c r="AK3" s="689"/>
      <c r="AL3" s="689" t="s">
        <v>3862</v>
      </c>
      <c r="AM3" s="689"/>
      <c r="AN3" s="689"/>
      <c r="AO3" s="689" t="s">
        <v>3863</v>
      </c>
      <c r="AP3" s="689"/>
      <c r="AQ3" s="689"/>
      <c r="AR3" s="689" t="s">
        <v>3864</v>
      </c>
      <c r="AS3" s="689"/>
      <c r="AT3" s="689"/>
      <c r="AU3" s="689" t="s">
        <v>3866</v>
      </c>
      <c r="AV3" s="689"/>
      <c r="AW3" s="689"/>
      <c r="AX3" s="689" t="s">
        <v>1926</v>
      </c>
      <c r="AY3" s="689"/>
      <c r="AZ3" s="689"/>
      <c r="BA3" s="689" t="s">
        <v>1927</v>
      </c>
      <c r="BB3" s="689"/>
      <c r="BC3" s="689"/>
      <c r="BD3" s="689" t="s">
        <v>1928</v>
      </c>
      <c r="BE3" s="689"/>
      <c r="BF3" s="689"/>
      <c r="BG3" s="689" t="s">
        <v>1929</v>
      </c>
      <c r="BH3" s="689"/>
      <c r="BI3" s="689"/>
      <c r="BJ3" s="689" t="s">
        <v>1930</v>
      </c>
      <c r="BK3" s="689"/>
      <c r="BL3" s="689"/>
      <c r="BM3" s="689" t="s">
        <v>1931</v>
      </c>
      <c r="BN3" s="689"/>
      <c r="BO3" s="689"/>
      <c r="BP3" s="689" t="s">
        <v>1936</v>
      </c>
      <c r="BQ3" s="689"/>
      <c r="BR3" s="689"/>
      <c r="BS3" s="689" t="s">
        <v>1937</v>
      </c>
      <c r="BT3" s="689"/>
      <c r="BU3" s="689"/>
      <c r="BV3" s="689" t="s">
        <v>1938</v>
      </c>
      <c r="BW3" s="689"/>
      <c r="BX3" s="689"/>
      <c r="BY3" s="689" t="s">
        <v>1939</v>
      </c>
      <c r="BZ3" s="689"/>
      <c r="CA3" s="689"/>
      <c r="CB3" s="689" t="s">
        <v>1940</v>
      </c>
      <c r="CC3" s="689"/>
      <c r="CD3" s="689"/>
      <c r="CE3" s="689" t="s">
        <v>1941</v>
      </c>
      <c r="CF3" s="689"/>
      <c r="CG3" s="689"/>
      <c r="CH3" s="689" t="s">
        <v>1942</v>
      </c>
      <c r="CI3" s="689"/>
      <c r="CJ3" s="689"/>
      <c r="CK3" s="689" t="s">
        <v>1943</v>
      </c>
      <c r="CL3" s="689"/>
      <c r="CM3" s="689"/>
      <c r="CN3" s="689" t="s">
        <v>1944</v>
      </c>
      <c r="CO3" s="689"/>
      <c r="CP3" s="689"/>
      <c r="CQ3" s="689" t="s">
        <v>1945</v>
      </c>
      <c r="CR3" s="689"/>
      <c r="CS3" s="689"/>
      <c r="CT3" s="689" t="s">
        <v>1946</v>
      </c>
      <c r="CU3" s="689"/>
      <c r="CV3" s="689"/>
      <c r="CW3" s="689" t="s">
        <v>1947</v>
      </c>
      <c r="CX3" s="689"/>
      <c r="CY3" s="689"/>
      <c r="CZ3" s="689" t="s">
        <v>1948</v>
      </c>
      <c r="DA3" s="689"/>
      <c r="DB3" s="689"/>
      <c r="DC3" s="689" t="s">
        <v>1949</v>
      </c>
      <c r="DD3" s="689"/>
      <c r="DE3" s="689"/>
      <c r="DF3" s="689" t="s">
        <v>890</v>
      </c>
      <c r="DG3" s="689"/>
      <c r="DH3" s="689"/>
      <c r="DI3" s="689" t="s">
        <v>891</v>
      </c>
      <c r="DJ3" s="689"/>
      <c r="DK3" s="689"/>
      <c r="DL3" s="689" t="s">
        <v>892</v>
      </c>
      <c r="DM3" s="689"/>
      <c r="DN3" s="689"/>
      <c r="DO3" s="689" t="s">
        <v>893</v>
      </c>
      <c r="DP3" s="689"/>
      <c r="DQ3" s="689"/>
      <c r="DR3" s="689" t="s">
        <v>894</v>
      </c>
      <c r="DS3" s="689"/>
      <c r="DT3" s="689"/>
      <c r="DU3" s="689" t="s">
        <v>897</v>
      </c>
      <c r="DV3" s="689"/>
      <c r="DW3" s="689"/>
      <c r="DX3" s="552" t="s">
        <v>895</v>
      </c>
      <c r="DY3" s="552"/>
      <c r="DZ3" s="552"/>
      <c r="EA3" s="347" t="s">
        <v>2987</v>
      </c>
      <c r="EB3" s="347" t="s">
        <v>3902</v>
      </c>
      <c r="EC3" s="347" t="s">
        <v>1167</v>
      </c>
      <c r="ED3" s="347" t="s">
        <v>3902</v>
      </c>
      <c r="EE3" s="347" t="s">
        <v>3904</v>
      </c>
      <c r="EF3" s="542"/>
      <c r="EG3" s="542"/>
      <c r="EH3" s="542"/>
      <c r="EI3" s="542"/>
      <c r="EJ3" s="542"/>
      <c r="EK3" s="542"/>
      <c r="EL3" s="542"/>
    </row>
    <row r="4" spans="1:147" ht="18" customHeight="1" x14ac:dyDescent="0.2">
      <c r="B4" s="293" t="s">
        <v>3719</v>
      </c>
      <c r="C4" s="293" t="s">
        <v>2989</v>
      </c>
      <c r="D4" s="293" t="s">
        <v>320</v>
      </c>
      <c r="E4" s="293" t="s">
        <v>3719</v>
      </c>
      <c r="F4" s="293" t="s">
        <v>2989</v>
      </c>
      <c r="G4" s="293" t="s">
        <v>320</v>
      </c>
      <c r="H4" s="293" t="s">
        <v>3719</v>
      </c>
      <c r="I4" s="293" t="s">
        <v>2989</v>
      </c>
      <c r="J4" s="293" t="s">
        <v>320</v>
      </c>
      <c r="K4" s="293" t="s">
        <v>3719</v>
      </c>
      <c r="L4" s="293" t="s">
        <v>2989</v>
      </c>
      <c r="M4" s="293" t="s">
        <v>320</v>
      </c>
      <c r="N4" s="293" t="s">
        <v>3719</v>
      </c>
      <c r="O4" s="293" t="s">
        <v>2989</v>
      </c>
      <c r="P4" s="293" t="s">
        <v>320</v>
      </c>
      <c r="Q4" s="293" t="s">
        <v>3719</v>
      </c>
      <c r="R4" s="293" t="s">
        <v>2989</v>
      </c>
      <c r="S4" s="293" t="s">
        <v>320</v>
      </c>
      <c r="T4" s="293" t="s">
        <v>3719</v>
      </c>
      <c r="U4" s="293" t="s">
        <v>2989</v>
      </c>
      <c r="V4" s="293" t="s">
        <v>320</v>
      </c>
      <c r="W4" s="293" t="s">
        <v>3719</v>
      </c>
      <c r="X4" s="293" t="s">
        <v>2989</v>
      </c>
      <c r="Y4" s="293" t="s">
        <v>320</v>
      </c>
      <c r="Z4" s="293" t="s">
        <v>3719</v>
      </c>
      <c r="AA4" s="293" t="s">
        <v>2989</v>
      </c>
      <c r="AB4" s="293" t="s">
        <v>320</v>
      </c>
      <c r="AC4" s="293" t="s">
        <v>3719</v>
      </c>
      <c r="AD4" s="293" t="s">
        <v>2989</v>
      </c>
      <c r="AE4" s="293" t="s">
        <v>320</v>
      </c>
      <c r="AF4" s="293" t="s">
        <v>3719</v>
      </c>
      <c r="AG4" s="293" t="s">
        <v>2989</v>
      </c>
      <c r="AH4" s="293" t="s">
        <v>320</v>
      </c>
      <c r="AI4" s="293" t="s">
        <v>3719</v>
      </c>
      <c r="AJ4" s="293" t="s">
        <v>2989</v>
      </c>
      <c r="AK4" s="293" t="s">
        <v>320</v>
      </c>
      <c r="AL4" s="293" t="s">
        <v>3719</v>
      </c>
      <c r="AM4" s="293" t="s">
        <v>2989</v>
      </c>
      <c r="AN4" s="293" t="s">
        <v>320</v>
      </c>
      <c r="AO4" s="293" t="s">
        <v>3719</v>
      </c>
      <c r="AP4" s="293" t="s">
        <v>2989</v>
      </c>
      <c r="AQ4" s="293" t="s">
        <v>320</v>
      </c>
      <c r="AR4" s="293" t="s">
        <v>3719</v>
      </c>
      <c r="AS4" s="293" t="s">
        <v>2989</v>
      </c>
      <c r="AT4" s="293" t="s">
        <v>320</v>
      </c>
      <c r="AU4" s="293" t="s">
        <v>3719</v>
      </c>
      <c r="AV4" s="293" t="s">
        <v>2989</v>
      </c>
      <c r="AW4" s="293" t="s">
        <v>320</v>
      </c>
      <c r="AX4" s="293" t="s">
        <v>3719</v>
      </c>
      <c r="AY4" s="293" t="s">
        <v>2989</v>
      </c>
      <c r="AZ4" s="293" t="s">
        <v>320</v>
      </c>
      <c r="BA4" s="293" t="s">
        <v>3719</v>
      </c>
      <c r="BB4" s="293" t="s">
        <v>2989</v>
      </c>
      <c r="BC4" s="293" t="s">
        <v>320</v>
      </c>
      <c r="BD4" s="293" t="s">
        <v>3719</v>
      </c>
      <c r="BE4" s="293" t="s">
        <v>2989</v>
      </c>
      <c r="BF4" s="293" t="s">
        <v>320</v>
      </c>
      <c r="BG4" s="293" t="s">
        <v>3719</v>
      </c>
      <c r="BH4" s="293" t="s">
        <v>2989</v>
      </c>
      <c r="BI4" s="293" t="s">
        <v>320</v>
      </c>
      <c r="BJ4" s="293" t="s">
        <v>3719</v>
      </c>
      <c r="BK4" s="293" t="s">
        <v>2989</v>
      </c>
      <c r="BL4" s="293" t="s">
        <v>320</v>
      </c>
      <c r="BM4" s="293" t="s">
        <v>3719</v>
      </c>
      <c r="BN4" s="293" t="s">
        <v>2989</v>
      </c>
      <c r="BO4" s="293" t="s">
        <v>320</v>
      </c>
      <c r="BP4" s="293" t="s">
        <v>3719</v>
      </c>
      <c r="BQ4" s="293" t="s">
        <v>2989</v>
      </c>
      <c r="BR4" s="293" t="s">
        <v>320</v>
      </c>
      <c r="BS4" s="293" t="s">
        <v>3719</v>
      </c>
      <c r="BT4" s="293" t="s">
        <v>2989</v>
      </c>
      <c r="BU4" s="293" t="s">
        <v>320</v>
      </c>
      <c r="BV4" s="293" t="s">
        <v>3719</v>
      </c>
      <c r="BW4" s="293" t="s">
        <v>2989</v>
      </c>
      <c r="BX4" s="293" t="s">
        <v>320</v>
      </c>
      <c r="BY4" s="293" t="s">
        <v>3719</v>
      </c>
      <c r="BZ4" s="293" t="s">
        <v>2989</v>
      </c>
      <c r="CA4" s="293" t="s">
        <v>320</v>
      </c>
      <c r="CB4" s="293" t="s">
        <v>3719</v>
      </c>
      <c r="CC4" s="293" t="s">
        <v>2989</v>
      </c>
      <c r="CD4" s="293" t="s">
        <v>320</v>
      </c>
      <c r="CE4" s="293" t="s">
        <v>3719</v>
      </c>
      <c r="CF4" s="293" t="s">
        <v>2989</v>
      </c>
      <c r="CG4" s="293" t="s">
        <v>320</v>
      </c>
      <c r="CH4" s="293" t="s">
        <v>3719</v>
      </c>
      <c r="CI4" s="293" t="s">
        <v>2989</v>
      </c>
      <c r="CJ4" s="293" t="s">
        <v>320</v>
      </c>
      <c r="CK4" s="293" t="s">
        <v>3719</v>
      </c>
      <c r="CL4" s="293" t="s">
        <v>2989</v>
      </c>
      <c r="CM4" s="293" t="s">
        <v>320</v>
      </c>
      <c r="CN4" s="293" t="s">
        <v>3719</v>
      </c>
      <c r="CO4" s="293" t="s">
        <v>2989</v>
      </c>
      <c r="CP4" s="293" t="s">
        <v>320</v>
      </c>
      <c r="CQ4" s="293" t="s">
        <v>3719</v>
      </c>
      <c r="CR4" s="293" t="s">
        <v>2989</v>
      </c>
      <c r="CS4" s="293" t="s">
        <v>320</v>
      </c>
      <c r="CT4" s="293" t="s">
        <v>3719</v>
      </c>
      <c r="CU4" s="293" t="s">
        <v>2989</v>
      </c>
      <c r="CV4" s="293" t="s">
        <v>320</v>
      </c>
      <c r="CW4" s="293" t="s">
        <v>3719</v>
      </c>
      <c r="CX4" s="293" t="s">
        <v>2989</v>
      </c>
      <c r="CY4" s="293" t="s">
        <v>320</v>
      </c>
      <c r="CZ4" s="293" t="s">
        <v>3719</v>
      </c>
      <c r="DA4" s="293" t="s">
        <v>2989</v>
      </c>
      <c r="DB4" s="293" t="s">
        <v>320</v>
      </c>
      <c r="DC4" s="293" t="s">
        <v>3719</v>
      </c>
      <c r="DD4" s="293" t="s">
        <v>2989</v>
      </c>
      <c r="DE4" s="293" t="s">
        <v>320</v>
      </c>
      <c r="DF4" s="293" t="s">
        <v>3719</v>
      </c>
      <c r="DG4" s="293" t="s">
        <v>2989</v>
      </c>
      <c r="DH4" s="293" t="s">
        <v>320</v>
      </c>
      <c r="DI4" s="293" t="s">
        <v>3719</v>
      </c>
      <c r="DJ4" s="293" t="s">
        <v>2989</v>
      </c>
      <c r="DK4" s="293" t="s">
        <v>320</v>
      </c>
      <c r="DL4" s="293" t="s">
        <v>3719</v>
      </c>
      <c r="DM4" s="293" t="s">
        <v>2989</v>
      </c>
      <c r="DN4" s="293" t="s">
        <v>320</v>
      </c>
      <c r="DO4" s="293" t="s">
        <v>3719</v>
      </c>
      <c r="DP4" s="293" t="s">
        <v>2989</v>
      </c>
      <c r="DQ4" s="293" t="s">
        <v>320</v>
      </c>
      <c r="DR4" s="293" t="s">
        <v>3719</v>
      </c>
      <c r="DS4" s="293" t="s">
        <v>2989</v>
      </c>
      <c r="DT4" s="293" t="s">
        <v>320</v>
      </c>
      <c r="DU4" s="293" t="s">
        <v>3719</v>
      </c>
      <c r="DV4" s="293" t="s">
        <v>2989</v>
      </c>
      <c r="DW4" s="293" t="s">
        <v>320</v>
      </c>
      <c r="DX4" s="293" t="s">
        <v>3719</v>
      </c>
      <c r="DY4" s="293" t="s">
        <v>2989</v>
      </c>
      <c r="DZ4" s="293" t="s">
        <v>320</v>
      </c>
      <c r="EA4" s="348" t="s">
        <v>1165</v>
      </c>
      <c r="EB4" s="348" t="s">
        <v>1166</v>
      </c>
      <c r="EC4" s="348" t="s">
        <v>1168</v>
      </c>
      <c r="ED4" s="348" t="s">
        <v>3903</v>
      </c>
      <c r="EE4" s="348" t="s">
        <v>312</v>
      </c>
      <c r="EF4" s="542"/>
      <c r="EG4" s="542"/>
      <c r="EH4" s="542"/>
      <c r="EI4" s="542"/>
      <c r="EJ4" s="542"/>
      <c r="EK4" s="542"/>
      <c r="EL4" s="542"/>
    </row>
    <row r="5" spans="1:147" s="294" customFormat="1" ht="18" customHeight="1" x14ac:dyDescent="0.2">
      <c r="A5" s="290">
        <v>1974</v>
      </c>
      <c r="B5" s="685" t="s">
        <v>321</v>
      </c>
      <c r="C5" s="686"/>
      <c r="D5" s="686"/>
      <c r="E5" s="686"/>
      <c r="F5" s="686"/>
      <c r="G5" s="686"/>
      <c r="H5" s="686"/>
      <c r="I5" s="686"/>
      <c r="J5" s="687"/>
      <c r="K5" s="685" t="s">
        <v>321</v>
      </c>
      <c r="L5" s="686"/>
      <c r="M5" s="686"/>
      <c r="N5" s="686"/>
      <c r="O5" s="686"/>
      <c r="P5" s="686"/>
      <c r="Q5" s="686"/>
      <c r="R5" s="686"/>
      <c r="S5" s="687"/>
      <c r="T5" s="685" t="s">
        <v>321</v>
      </c>
      <c r="U5" s="686"/>
      <c r="V5" s="686"/>
      <c r="W5" s="686"/>
      <c r="X5" s="686"/>
      <c r="Y5" s="686"/>
      <c r="Z5" s="686"/>
      <c r="AA5" s="686"/>
      <c r="AB5" s="687"/>
      <c r="AC5" s="685" t="s">
        <v>321</v>
      </c>
      <c r="AD5" s="686"/>
      <c r="AE5" s="686"/>
      <c r="AF5" s="686"/>
      <c r="AG5" s="686"/>
      <c r="AH5" s="686"/>
      <c r="AI5" s="686"/>
      <c r="AJ5" s="686"/>
      <c r="AK5" s="687"/>
      <c r="AL5" s="685" t="s">
        <v>321</v>
      </c>
      <c r="AM5" s="686"/>
      <c r="AN5" s="686"/>
      <c r="AO5" s="686"/>
      <c r="AP5" s="686"/>
      <c r="AQ5" s="686"/>
      <c r="AR5" s="686"/>
      <c r="AS5" s="686"/>
      <c r="AT5" s="687"/>
      <c r="AU5" s="685" t="s">
        <v>321</v>
      </c>
      <c r="AV5" s="686"/>
      <c r="AW5" s="686"/>
      <c r="AX5" s="686"/>
      <c r="AY5" s="686"/>
      <c r="AZ5" s="686"/>
      <c r="BA5" s="686"/>
      <c r="BB5" s="686"/>
      <c r="BC5" s="687"/>
      <c r="BD5" s="685" t="s">
        <v>321</v>
      </c>
      <c r="BE5" s="686"/>
      <c r="BF5" s="686"/>
      <c r="BG5" s="686"/>
      <c r="BH5" s="686"/>
      <c r="BI5" s="686"/>
      <c r="BJ5" s="686"/>
      <c r="BK5" s="686"/>
      <c r="BL5" s="687"/>
      <c r="BM5" s="685" t="s">
        <v>321</v>
      </c>
      <c r="BN5" s="686"/>
      <c r="BO5" s="686"/>
      <c r="BP5" s="686"/>
      <c r="BQ5" s="686"/>
      <c r="BR5" s="686"/>
      <c r="BS5" s="686"/>
      <c r="BT5" s="686"/>
      <c r="BU5" s="687"/>
      <c r="BV5" s="685" t="s">
        <v>321</v>
      </c>
      <c r="BW5" s="686"/>
      <c r="BX5" s="686"/>
      <c r="BY5" s="686"/>
      <c r="BZ5" s="686"/>
      <c r="CA5" s="686"/>
      <c r="CB5" s="686"/>
      <c r="CC5" s="686"/>
      <c r="CD5" s="687"/>
      <c r="CE5" s="685" t="s">
        <v>321</v>
      </c>
      <c r="CF5" s="686"/>
      <c r="CG5" s="686"/>
      <c r="CH5" s="686"/>
      <c r="CI5" s="686"/>
      <c r="CJ5" s="686"/>
      <c r="CK5" s="686"/>
      <c r="CL5" s="686"/>
      <c r="CM5" s="687"/>
      <c r="CN5" s="685" t="s">
        <v>321</v>
      </c>
      <c r="CO5" s="686"/>
      <c r="CP5" s="686"/>
      <c r="CQ5" s="686"/>
      <c r="CR5" s="686"/>
      <c r="CS5" s="686"/>
      <c r="CT5" s="686"/>
      <c r="CU5" s="686"/>
      <c r="CV5" s="687"/>
      <c r="CW5" s="685" t="s">
        <v>321</v>
      </c>
      <c r="CX5" s="686"/>
      <c r="CY5" s="686"/>
      <c r="CZ5" s="686"/>
      <c r="DA5" s="686"/>
      <c r="DB5" s="686"/>
      <c r="DC5" s="686"/>
      <c r="DD5" s="686"/>
      <c r="DE5" s="687"/>
      <c r="DF5" s="685" t="s">
        <v>321</v>
      </c>
      <c r="DG5" s="686"/>
      <c r="DH5" s="686"/>
      <c r="DI5" s="686"/>
      <c r="DJ5" s="686"/>
      <c r="DK5" s="686"/>
      <c r="DL5" s="686"/>
      <c r="DM5" s="686"/>
      <c r="DN5" s="687"/>
      <c r="DO5" s="685" t="s">
        <v>321</v>
      </c>
      <c r="DP5" s="686"/>
      <c r="DQ5" s="686"/>
      <c r="DR5" s="686"/>
      <c r="DS5" s="686"/>
      <c r="DT5" s="686"/>
      <c r="DU5" s="686"/>
      <c r="DV5" s="686"/>
      <c r="DW5" s="687"/>
      <c r="DX5" s="540" t="s">
        <v>321</v>
      </c>
      <c r="DY5" s="483"/>
      <c r="DZ5" s="483"/>
      <c r="EA5" s="474"/>
      <c r="EB5" s="474"/>
      <c r="EC5" s="474"/>
      <c r="ED5" s="474"/>
      <c r="EE5" s="474"/>
      <c r="EF5" s="539"/>
      <c r="EG5" s="539"/>
      <c r="EH5" s="539"/>
      <c r="EI5" s="539"/>
      <c r="EJ5" s="539"/>
      <c r="EK5" s="539"/>
      <c r="EL5" s="539"/>
      <c r="EM5" s="539"/>
      <c r="EN5" s="539"/>
    </row>
    <row r="6" spans="1:147" s="294" customFormat="1" ht="18" customHeight="1" x14ac:dyDescent="0.2">
      <c r="A6" s="548">
        <v>1975</v>
      </c>
      <c r="B6" s="298" t="s">
        <v>1999</v>
      </c>
      <c r="C6" s="296">
        <v>1341</v>
      </c>
      <c r="D6" s="297"/>
      <c r="E6" s="295" t="s">
        <v>1448</v>
      </c>
      <c r="F6" s="296">
        <v>1252</v>
      </c>
      <c r="G6" s="297"/>
      <c r="H6" s="298" t="s">
        <v>3865</v>
      </c>
      <c r="I6" s="294">
        <v>1244</v>
      </c>
      <c r="J6" s="299"/>
      <c r="K6" s="295" t="s">
        <v>1432</v>
      </c>
      <c r="L6" s="296">
        <v>1206</v>
      </c>
      <c r="M6" s="297"/>
      <c r="N6" s="295" t="s">
        <v>1431</v>
      </c>
      <c r="O6" s="296">
        <v>1128</v>
      </c>
      <c r="P6" s="297"/>
      <c r="Q6" s="295" t="s">
        <v>1433</v>
      </c>
      <c r="R6" s="296">
        <v>1126</v>
      </c>
      <c r="S6" s="297"/>
      <c r="T6" s="295" t="s">
        <v>1434</v>
      </c>
      <c r="U6" s="296">
        <v>1087</v>
      </c>
      <c r="V6" s="297"/>
      <c r="W6" s="295" t="s">
        <v>1435</v>
      </c>
      <c r="X6" s="296">
        <v>1065</v>
      </c>
      <c r="Y6" s="297"/>
      <c r="Z6" s="295" t="s">
        <v>1436</v>
      </c>
      <c r="AA6" s="296">
        <v>1038</v>
      </c>
      <c r="AB6" s="297"/>
      <c r="AC6" s="295" t="s">
        <v>1437</v>
      </c>
      <c r="AD6" s="296">
        <v>1022</v>
      </c>
      <c r="AE6" s="297"/>
      <c r="AF6" s="295" t="s">
        <v>1438</v>
      </c>
      <c r="AG6" s="296">
        <v>951</v>
      </c>
      <c r="AH6" s="297"/>
      <c r="AI6" s="295" t="s">
        <v>1439</v>
      </c>
      <c r="AJ6" s="296">
        <v>927</v>
      </c>
      <c r="AK6" s="297"/>
      <c r="AL6" s="295"/>
      <c r="AM6" s="296"/>
      <c r="AN6" s="297"/>
      <c r="AO6" s="295"/>
      <c r="AP6" s="296"/>
      <c r="AQ6" s="297"/>
      <c r="AR6" s="295"/>
      <c r="AS6" s="296"/>
      <c r="AT6" s="297"/>
      <c r="AU6" s="295"/>
      <c r="AV6" s="296"/>
      <c r="AW6" s="297"/>
      <c r="AX6" s="295"/>
      <c r="AY6" s="296"/>
      <c r="AZ6" s="297"/>
      <c r="BA6" s="295"/>
      <c r="BB6" s="296"/>
      <c r="BC6" s="297"/>
      <c r="BD6" s="295"/>
      <c r="BE6" s="296"/>
      <c r="BF6" s="297"/>
      <c r="BG6" s="295"/>
      <c r="BH6" s="296"/>
      <c r="BI6" s="297"/>
      <c r="BJ6" s="295"/>
      <c r="BK6" s="296"/>
      <c r="BL6" s="297"/>
      <c r="BM6" s="295"/>
      <c r="BN6" s="296"/>
      <c r="BO6" s="297"/>
      <c r="BP6" s="295"/>
      <c r="BQ6" s="296"/>
      <c r="BR6" s="297"/>
      <c r="BS6" s="295"/>
      <c r="BT6" s="296"/>
      <c r="BU6" s="297"/>
      <c r="BV6" s="295"/>
      <c r="BW6" s="296"/>
      <c r="BX6" s="297"/>
      <c r="BY6" s="295"/>
      <c r="BZ6" s="296"/>
      <c r="CA6" s="297"/>
      <c r="CB6" s="295"/>
      <c r="CC6" s="296"/>
      <c r="CD6" s="297"/>
      <c r="CE6" s="295"/>
      <c r="CF6" s="296"/>
      <c r="CG6" s="297"/>
      <c r="CH6" s="295"/>
      <c r="CI6" s="296"/>
      <c r="CJ6" s="297"/>
      <c r="CK6" s="295"/>
      <c r="CL6" s="296"/>
      <c r="CM6" s="297"/>
      <c r="CN6" s="295"/>
      <c r="CO6" s="296"/>
      <c r="CP6" s="297"/>
      <c r="CQ6" s="295"/>
      <c r="CR6" s="296"/>
      <c r="CS6" s="297"/>
      <c r="CT6" s="295"/>
      <c r="CU6" s="296"/>
      <c r="CV6" s="297"/>
      <c r="CW6" s="295"/>
      <c r="CX6" s="296"/>
      <c r="CY6" s="297"/>
      <c r="CZ6" s="295"/>
      <c r="DA6" s="296"/>
      <c r="DB6" s="297"/>
      <c r="DC6" s="295"/>
      <c r="DD6" s="296"/>
      <c r="DE6" s="296"/>
      <c r="DF6" s="295"/>
      <c r="DG6" s="296"/>
      <c r="DH6" s="296"/>
      <c r="DI6" s="295"/>
      <c r="DJ6" s="296"/>
      <c r="DK6" s="296"/>
      <c r="DL6" s="295"/>
      <c r="DM6" s="296"/>
      <c r="DN6" s="297"/>
      <c r="DO6" s="295"/>
      <c r="DP6" s="296"/>
      <c r="DQ6" s="296"/>
      <c r="DR6" s="295"/>
      <c r="DS6" s="296"/>
      <c r="DT6" s="296"/>
      <c r="DU6" s="295"/>
      <c r="DV6" s="296"/>
      <c r="DW6" s="297"/>
      <c r="DX6" s="295"/>
      <c r="DY6" s="296"/>
      <c r="DZ6" s="296"/>
      <c r="EA6" s="475">
        <f>+C6+F6+I6+L6+O6+R6+U6+X6+AA6+AD6+AG6+AJ6+AM6+AP6+AS6+AV6+AY6+BB6+BE6+BH6+BK6+BN6+BQ6+BT6+BW6+BZ6+CC6+CF6+CI6+CL6+CO6+CR6+CU6+CX6+DA6+DD6+DG6+DJ6+DM6+DP6+DS6+DV6+DY6+'Chorus Champs'!C6+'Chorus Champs'!F6+'Chorus Champs'!I6</f>
        <v>17713</v>
      </c>
      <c r="EB6" s="475">
        <v>15</v>
      </c>
      <c r="EC6" s="475">
        <f>+EA6/EB6</f>
        <v>1181</v>
      </c>
      <c r="ED6" s="475">
        <f>+D6+G6+J6+M6+P6+S6+V6+Y6+AB6+AE6+AH6+AK6+AN6+AQ6+AT6+AW6+AZ6+BC6+BF6+BI6+BL6+BO6+BR6+BU6+BX6+CA6+CD6+CG6+CJ6+CM6+CP6+CS6+CV6+CY6+DB6+DE6+DH6+DK6+DN6+DQ6+DT6+DW6+DZ6+'Chorus Champs'!D6+'Chorus Champs'!G6+'Chorus Champs'!J6</f>
        <v>184</v>
      </c>
      <c r="EE6" s="475">
        <f>+ED6/3</f>
        <v>61</v>
      </c>
      <c r="EF6" s="284"/>
      <c r="EG6" s="284"/>
      <c r="EH6" s="284"/>
      <c r="EI6" s="284"/>
      <c r="EJ6" s="284"/>
      <c r="EK6" s="284"/>
      <c r="EL6" s="284"/>
    </row>
    <row r="7" spans="1:147" s="294" customFormat="1" ht="18" customHeight="1" x14ac:dyDescent="0.2">
      <c r="A7" s="291">
        <v>1976</v>
      </c>
      <c r="B7" s="544" t="s">
        <v>3868</v>
      </c>
      <c r="C7" s="301">
        <v>1222</v>
      </c>
      <c r="D7" s="302"/>
      <c r="E7" s="300" t="s">
        <v>2379</v>
      </c>
      <c r="F7" s="301">
        <v>1206</v>
      </c>
      <c r="G7" s="302"/>
      <c r="H7" s="300" t="s">
        <v>1438</v>
      </c>
      <c r="I7" s="301">
        <v>1088</v>
      </c>
      <c r="J7" s="303"/>
      <c r="K7" s="300" t="s">
        <v>3867</v>
      </c>
      <c r="L7" s="301">
        <v>1059</v>
      </c>
      <c r="M7" s="302"/>
      <c r="N7" s="300" t="s">
        <v>1430</v>
      </c>
      <c r="O7" s="301">
        <v>1005</v>
      </c>
      <c r="P7" s="301"/>
      <c r="Q7" s="300" t="s">
        <v>1435</v>
      </c>
      <c r="R7" s="301">
        <v>963</v>
      </c>
      <c r="S7" s="302"/>
      <c r="T7" s="300" t="s">
        <v>1439</v>
      </c>
      <c r="U7" s="301">
        <v>877</v>
      </c>
      <c r="V7" s="302"/>
      <c r="W7" s="300" t="s">
        <v>1437</v>
      </c>
      <c r="X7" s="301">
        <v>829</v>
      </c>
      <c r="Y7" s="302"/>
      <c r="Z7" s="300" t="s">
        <v>1436</v>
      </c>
      <c r="AA7" s="301">
        <v>820</v>
      </c>
      <c r="AB7" s="302"/>
      <c r="AC7" s="300" t="s">
        <v>2662</v>
      </c>
      <c r="AD7" s="301">
        <v>755</v>
      </c>
      <c r="AE7" s="302"/>
      <c r="AF7" s="300" t="s">
        <v>1449</v>
      </c>
      <c r="AG7" s="301">
        <v>700</v>
      </c>
      <c r="AH7" s="302"/>
      <c r="AI7" s="300"/>
      <c r="AJ7" s="301"/>
      <c r="AK7" s="302"/>
      <c r="AL7" s="300"/>
      <c r="AM7" s="301"/>
      <c r="AN7" s="302"/>
      <c r="AO7" s="300"/>
      <c r="AP7" s="301"/>
      <c r="AQ7" s="302"/>
      <c r="AR7" s="300"/>
      <c r="AS7" s="301"/>
      <c r="AT7" s="302"/>
      <c r="AU7" s="300"/>
      <c r="AV7" s="301"/>
      <c r="AW7" s="302"/>
      <c r="AX7" s="300"/>
      <c r="AY7" s="301"/>
      <c r="AZ7" s="302"/>
      <c r="BA7" s="300"/>
      <c r="BB7" s="301"/>
      <c r="BC7" s="302"/>
      <c r="BD7" s="300"/>
      <c r="BE7" s="301"/>
      <c r="BF7" s="302"/>
      <c r="BG7" s="300"/>
      <c r="BH7" s="301"/>
      <c r="BI7" s="302"/>
      <c r="BJ7" s="300"/>
      <c r="BK7" s="301"/>
      <c r="BL7" s="302"/>
      <c r="BM7" s="300"/>
      <c r="BN7" s="301"/>
      <c r="BO7" s="302"/>
      <c r="BP7" s="300"/>
      <c r="BQ7" s="301"/>
      <c r="BR7" s="302"/>
      <c r="BS7" s="300"/>
      <c r="BT7" s="301"/>
      <c r="BU7" s="302"/>
      <c r="BV7" s="300"/>
      <c r="BW7" s="301"/>
      <c r="BX7" s="302"/>
      <c r="BY7" s="300"/>
      <c r="BZ7" s="301"/>
      <c r="CA7" s="302"/>
      <c r="CB7" s="300"/>
      <c r="CC7" s="301"/>
      <c r="CD7" s="302"/>
      <c r="CE7" s="300"/>
      <c r="CF7" s="301"/>
      <c r="CG7" s="302"/>
      <c r="CH7" s="300"/>
      <c r="CI7" s="301"/>
      <c r="CJ7" s="302"/>
      <c r="CK7" s="300"/>
      <c r="CL7" s="301"/>
      <c r="CM7" s="302"/>
      <c r="CN7" s="300"/>
      <c r="CO7" s="301"/>
      <c r="CP7" s="302"/>
      <c r="CQ7" s="300"/>
      <c r="CR7" s="301"/>
      <c r="CS7" s="302"/>
      <c r="CT7" s="300"/>
      <c r="CU7" s="301"/>
      <c r="CV7" s="302"/>
      <c r="CW7" s="300"/>
      <c r="CX7" s="301"/>
      <c r="CY7" s="302"/>
      <c r="CZ7" s="300"/>
      <c r="DA7" s="301"/>
      <c r="DB7" s="302"/>
      <c r="DC7" s="300"/>
      <c r="DD7" s="301"/>
      <c r="DE7" s="301"/>
      <c r="DF7" s="300"/>
      <c r="DG7" s="301"/>
      <c r="DH7" s="301"/>
      <c r="DI7" s="300"/>
      <c r="DJ7" s="301"/>
      <c r="DK7" s="301"/>
      <c r="DL7" s="300"/>
      <c r="DM7" s="301"/>
      <c r="DN7" s="302"/>
      <c r="DO7" s="300"/>
      <c r="DP7" s="301"/>
      <c r="DQ7" s="301"/>
      <c r="DR7" s="300"/>
      <c r="DS7" s="301"/>
      <c r="DT7" s="301"/>
      <c r="DU7" s="300"/>
      <c r="DV7" s="301"/>
      <c r="DW7" s="302"/>
      <c r="DX7" s="300"/>
      <c r="DY7" s="301"/>
      <c r="DZ7" s="301"/>
      <c r="EA7" s="475">
        <f>+C7+F7+I7+L7+O7+R7+U7+X7+AA7+AD7+AG7+AJ7+AM7+AP7+AS7+AV7+AY7+BB7+BE7+BH7+BK7+BN7+BQ7+BT7+BW7+BZ7+CC7+CF7+CI7+CL7+CO7+CR7+CU7+CX7+DA7+DD7+DG7+DJ7+DM7+DP7+DS7+DV7+DY7+'Chorus Champs'!C7+'Chorus Champs'!F7+'Chorus Champs'!I7</f>
        <v>17702</v>
      </c>
      <c r="EB7" s="475">
        <v>14</v>
      </c>
      <c r="EC7" s="475">
        <f t="shared" ref="EC7:EC50" si="0">+EA7/EB7</f>
        <v>1264</v>
      </c>
      <c r="ED7" s="475">
        <f>+D7+G7+J7+M7+P7+S7+V7+Y7+AB7+AE7+AH7+AK7+AN7+AQ7+AT7+AW7+AZ7+BC7+BF7+BI7+BL7+BO7+BR7+BU7+BX7+CA7+CD7+CG7+CJ7+CM7+CP7+CS7+CV7+CY7+DB7+DE7+DH7+DK7+DN7+DQ7+DT7+DW7+DZ7+'Chorus Champs'!D7+'Chorus Champs'!G7+'Chorus Champs'!J7</f>
        <v>42</v>
      </c>
      <c r="EE7" s="475">
        <f>+ED7/1</f>
        <v>42</v>
      </c>
      <c r="EF7" s="284"/>
      <c r="EG7" s="284"/>
      <c r="EH7" s="284"/>
      <c r="EI7" s="284"/>
      <c r="EJ7" s="284"/>
      <c r="EK7" s="284"/>
      <c r="EL7" s="284"/>
    </row>
    <row r="8" spans="1:147" s="294" customFormat="1" ht="18" customHeight="1" x14ac:dyDescent="0.2">
      <c r="A8" s="288">
        <v>1977</v>
      </c>
      <c r="B8" s="544" t="s">
        <v>1438</v>
      </c>
      <c r="C8" s="304">
        <v>1350</v>
      </c>
      <c r="D8" s="305"/>
      <c r="E8" s="300" t="s">
        <v>1452</v>
      </c>
      <c r="F8" s="301">
        <v>1295</v>
      </c>
      <c r="G8" s="302"/>
      <c r="H8" s="300" t="s">
        <v>3867</v>
      </c>
      <c r="I8" s="301">
        <v>1273</v>
      </c>
      <c r="J8" s="303"/>
      <c r="K8" s="306" t="s">
        <v>3868</v>
      </c>
      <c r="L8" s="304">
        <v>1235</v>
      </c>
      <c r="M8" s="305"/>
      <c r="N8" s="300" t="s">
        <v>1439</v>
      </c>
      <c r="O8" s="301">
        <v>1197</v>
      </c>
      <c r="P8" s="302"/>
      <c r="Q8" s="300" t="s">
        <v>1447</v>
      </c>
      <c r="R8" s="301">
        <v>1180</v>
      </c>
      <c r="S8" s="302"/>
      <c r="T8" s="306" t="s">
        <v>1430</v>
      </c>
      <c r="U8" s="304">
        <v>1149</v>
      </c>
      <c r="V8" s="305"/>
      <c r="W8" s="300" t="s">
        <v>1436</v>
      </c>
      <c r="X8" s="301">
        <v>1114</v>
      </c>
      <c r="Y8" s="302"/>
      <c r="Z8" s="300" t="s">
        <v>1449</v>
      </c>
      <c r="AA8" s="301">
        <v>1110</v>
      </c>
      <c r="AB8" s="302"/>
      <c r="AC8" s="306" t="s">
        <v>1453</v>
      </c>
      <c r="AD8" s="304">
        <v>1092</v>
      </c>
      <c r="AE8" s="305"/>
      <c r="AF8" s="300" t="s">
        <v>1454</v>
      </c>
      <c r="AG8" s="301">
        <v>1047</v>
      </c>
      <c r="AH8" s="302"/>
      <c r="AI8" s="300" t="s">
        <v>1435</v>
      </c>
      <c r="AJ8" s="301">
        <v>1021</v>
      </c>
      <c r="AK8" s="302"/>
      <c r="AL8" s="306" t="s">
        <v>1431</v>
      </c>
      <c r="AM8" s="304">
        <v>1018</v>
      </c>
      <c r="AN8" s="305"/>
      <c r="AO8" s="300" t="s">
        <v>1434</v>
      </c>
      <c r="AP8" s="301">
        <v>968</v>
      </c>
      <c r="AQ8" s="302"/>
      <c r="AR8" s="300" t="s">
        <v>1451</v>
      </c>
      <c r="AS8" s="301">
        <v>861</v>
      </c>
      <c r="AT8" s="302"/>
      <c r="AU8" s="300" t="s">
        <v>1450</v>
      </c>
      <c r="AV8" s="301">
        <v>616</v>
      </c>
      <c r="AW8" s="302"/>
      <c r="AX8" s="300"/>
      <c r="AY8" s="301"/>
      <c r="AZ8" s="302"/>
      <c r="BA8" s="300"/>
      <c r="BB8" s="301"/>
      <c r="BC8" s="302"/>
      <c r="BD8" s="300"/>
      <c r="BE8" s="301"/>
      <c r="BF8" s="302"/>
      <c r="BG8" s="300"/>
      <c r="BH8" s="301"/>
      <c r="BI8" s="302"/>
      <c r="BJ8" s="300"/>
      <c r="BK8" s="301"/>
      <c r="BL8" s="302"/>
      <c r="BM8" s="300"/>
      <c r="BN8" s="301"/>
      <c r="BO8" s="302"/>
      <c r="BP8" s="300"/>
      <c r="BQ8" s="301"/>
      <c r="BR8" s="302"/>
      <c r="BS8" s="300"/>
      <c r="BT8" s="301"/>
      <c r="BU8" s="302"/>
      <c r="BV8" s="300"/>
      <c r="BW8" s="301"/>
      <c r="BX8" s="302"/>
      <c r="BY8" s="300"/>
      <c r="BZ8" s="301"/>
      <c r="CA8" s="302"/>
      <c r="CB8" s="300"/>
      <c r="CC8" s="301"/>
      <c r="CD8" s="302"/>
      <c r="CE8" s="300"/>
      <c r="CF8" s="301"/>
      <c r="CG8" s="302"/>
      <c r="CH8" s="300"/>
      <c r="CI8" s="301"/>
      <c r="CJ8" s="302"/>
      <c r="CK8" s="300"/>
      <c r="CL8" s="301"/>
      <c r="CM8" s="302"/>
      <c r="CN8" s="300"/>
      <c r="CO8" s="301"/>
      <c r="CP8" s="302"/>
      <c r="CQ8" s="300"/>
      <c r="CR8" s="301"/>
      <c r="CS8" s="302"/>
      <c r="CT8" s="300"/>
      <c r="CU8" s="301"/>
      <c r="CV8" s="302"/>
      <c r="CW8" s="300"/>
      <c r="CX8" s="301"/>
      <c r="CY8" s="302"/>
      <c r="CZ8" s="300"/>
      <c r="DA8" s="301"/>
      <c r="DB8" s="302"/>
      <c r="DC8" s="300"/>
      <c r="DD8" s="301"/>
      <c r="DE8" s="301"/>
      <c r="DF8" s="300"/>
      <c r="DG8" s="301"/>
      <c r="DH8" s="301"/>
      <c r="DI8" s="300"/>
      <c r="DJ8" s="301"/>
      <c r="DK8" s="301"/>
      <c r="DL8" s="300"/>
      <c r="DM8" s="301"/>
      <c r="DN8" s="302"/>
      <c r="DO8" s="300"/>
      <c r="DP8" s="301"/>
      <c r="DQ8" s="301"/>
      <c r="DR8" s="300"/>
      <c r="DS8" s="301"/>
      <c r="DT8" s="301"/>
      <c r="DU8" s="300"/>
      <c r="DV8" s="301"/>
      <c r="DW8" s="302"/>
      <c r="DX8" s="300"/>
      <c r="DY8" s="301"/>
      <c r="DZ8" s="301"/>
      <c r="EA8" s="475">
        <f>+C8+F8+I8+L8+O8+R8+U8+X8+AA8+AD8+AG8+AJ8+AM8+AP8+AS8+AV8+AY8+BB8+BE8+BH8+BK8+BN8+BQ8+BT8+BW8+BZ8+CC8+CF8+CI8+CL8+CO8+CR8+CU8+CX8+DA8+DD8+DG8+DJ8+DM8+DP8+DS8+DV8+DY8+'Chorus Champs'!C8+'Chorus Champs'!F8+'Chorus Champs'!I8</f>
        <v>21938</v>
      </c>
      <c r="EB8" s="475">
        <v>19</v>
      </c>
      <c r="EC8" s="475">
        <f t="shared" si="0"/>
        <v>1155</v>
      </c>
      <c r="ED8" s="475">
        <f>+D8+G8+J8+M8+P8+S8+V8+Y8+AB8+AE8+AH8+AK8+AN8+AQ8+AT8+AW8+AZ8+BC8+BF8+BI8+BL8+BO8+BR8+BU8+BX8+CA8+CD8+CG8+CJ8+CM8+CP8+CS8+CV8+CY8+DB8+DE8+DH8+DK8+DN8+DQ8+DT8+DW8+DZ8+'Chorus Champs'!D8+'Chorus Champs'!G8+'Chorus Champs'!J8</f>
        <v>101</v>
      </c>
      <c r="EE8" s="475">
        <f>+ED8/3</f>
        <v>34</v>
      </c>
      <c r="EF8" s="284"/>
      <c r="EG8" s="284"/>
      <c r="EH8" s="284"/>
      <c r="EI8" s="284"/>
      <c r="EJ8" s="284"/>
      <c r="EK8" s="284"/>
      <c r="EL8" s="284"/>
    </row>
    <row r="9" spans="1:147" s="294" customFormat="1" ht="18" customHeight="1" x14ac:dyDescent="0.2">
      <c r="A9" s="288">
        <v>1978</v>
      </c>
      <c r="B9" s="544" t="s">
        <v>1992</v>
      </c>
      <c r="C9" s="307">
        <v>1393</v>
      </c>
      <c r="D9" s="308"/>
      <c r="E9" s="309" t="s">
        <v>1452</v>
      </c>
      <c r="F9" s="310">
        <v>1387</v>
      </c>
      <c r="G9" s="311"/>
      <c r="H9" s="309" t="s">
        <v>3867</v>
      </c>
      <c r="I9" s="310">
        <v>1329</v>
      </c>
      <c r="J9" s="312"/>
      <c r="K9" s="300" t="s">
        <v>1447</v>
      </c>
      <c r="L9" s="307">
        <v>1315</v>
      </c>
      <c r="M9" s="308"/>
      <c r="N9" s="300" t="s">
        <v>1995</v>
      </c>
      <c r="O9" s="310">
        <v>1248</v>
      </c>
      <c r="P9" s="311"/>
      <c r="Q9" s="300" t="s">
        <v>1439</v>
      </c>
      <c r="R9" s="310">
        <v>1220</v>
      </c>
      <c r="S9" s="311"/>
      <c r="T9" s="300" t="s">
        <v>1438</v>
      </c>
      <c r="U9" s="307">
        <v>1219</v>
      </c>
      <c r="V9" s="308"/>
      <c r="W9" s="300" t="s">
        <v>1449</v>
      </c>
      <c r="X9" s="310">
        <v>1219</v>
      </c>
      <c r="Y9" s="311"/>
      <c r="Z9" s="306" t="s">
        <v>1431</v>
      </c>
      <c r="AA9" s="310">
        <v>1179</v>
      </c>
      <c r="AB9" s="311"/>
      <c r="AC9" s="306" t="s">
        <v>1998</v>
      </c>
      <c r="AD9" s="307">
        <v>1159</v>
      </c>
      <c r="AE9" s="308"/>
      <c r="AF9" s="309" t="s">
        <v>1996</v>
      </c>
      <c r="AG9" s="310">
        <v>1148</v>
      </c>
      <c r="AH9" s="311"/>
      <c r="AI9" s="300" t="s">
        <v>1435</v>
      </c>
      <c r="AJ9" s="310">
        <v>1106</v>
      </c>
      <c r="AK9" s="311"/>
      <c r="AL9" s="300" t="s">
        <v>1997</v>
      </c>
      <c r="AM9" s="307">
        <v>1066</v>
      </c>
      <c r="AN9" s="308"/>
      <c r="AO9" s="309"/>
      <c r="AP9" s="310"/>
      <c r="AQ9" s="311"/>
      <c r="AR9" s="309"/>
      <c r="AS9" s="310"/>
      <c r="AT9" s="311"/>
      <c r="AU9" s="309"/>
      <c r="AV9" s="310"/>
      <c r="AW9" s="311"/>
      <c r="AX9" s="309"/>
      <c r="AY9" s="310"/>
      <c r="AZ9" s="311"/>
      <c r="BA9" s="309"/>
      <c r="BB9" s="310"/>
      <c r="BC9" s="311"/>
      <c r="BD9" s="309"/>
      <c r="BE9" s="310"/>
      <c r="BF9" s="311"/>
      <c r="BG9" s="309"/>
      <c r="BH9" s="310"/>
      <c r="BI9" s="311"/>
      <c r="BJ9" s="309"/>
      <c r="BK9" s="310"/>
      <c r="BL9" s="311"/>
      <c r="BM9" s="309"/>
      <c r="BN9" s="310"/>
      <c r="BO9" s="311"/>
      <c r="BP9" s="309"/>
      <c r="BQ9" s="310"/>
      <c r="BR9" s="311"/>
      <c r="BS9" s="309"/>
      <c r="BT9" s="310"/>
      <c r="BU9" s="311"/>
      <c r="BV9" s="309"/>
      <c r="BW9" s="310"/>
      <c r="BX9" s="311"/>
      <c r="BY9" s="309"/>
      <c r="BZ9" s="310"/>
      <c r="CA9" s="311"/>
      <c r="CB9" s="309"/>
      <c r="CC9" s="310"/>
      <c r="CD9" s="311"/>
      <c r="CE9" s="309"/>
      <c r="CF9" s="310"/>
      <c r="CG9" s="311"/>
      <c r="CH9" s="309"/>
      <c r="CI9" s="310"/>
      <c r="CJ9" s="311"/>
      <c r="CK9" s="309"/>
      <c r="CL9" s="310"/>
      <c r="CM9" s="311"/>
      <c r="CN9" s="309"/>
      <c r="CO9" s="310"/>
      <c r="CP9" s="311"/>
      <c r="CQ9" s="309"/>
      <c r="CR9" s="310"/>
      <c r="CS9" s="311"/>
      <c r="CT9" s="309"/>
      <c r="CU9" s="310"/>
      <c r="CV9" s="311"/>
      <c r="CW9" s="309"/>
      <c r="CX9" s="310"/>
      <c r="CY9" s="311"/>
      <c r="CZ9" s="309"/>
      <c r="DA9" s="310"/>
      <c r="DB9" s="311"/>
      <c r="DC9" s="309"/>
      <c r="DD9" s="310"/>
      <c r="DE9" s="310"/>
      <c r="DF9" s="309"/>
      <c r="DG9" s="310"/>
      <c r="DH9" s="310"/>
      <c r="DI9" s="309"/>
      <c r="DJ9" s="310"/>
      <c r="DK9" s="310"/>
      <c r="DL9" s="309"/>
      <c r="DM9" s="310"/>
      <c r="DN9" s="311"/>
      <c r="DO9" s="309"/>
      <c r="DP9" s="310"/>
      <c r="DQ9" s="310"/>
      <c r="DR9" s="309"/>
      <c r="DS9" s="310"/>
      <c r="DT9" s="310"/>
      <c r="DU9" s="309"/>
      <c r="DV9" s="310"/>
      <c r="DW9" s="311"/>
      <c r="DX9" s="309"/>
      <c r="DY9" s="310"/>
      <c r="DZ9" s="310"/>
      <c r="EA9" s="475">
        <f>+C9+F9+I9+L9+O9+R9+U9+X9+AA9+AD9+AG9+AJ9+AM9+AP9+AS9+AV9+AY9+BB9+BE9+BH9+BK9+BN9+BQ9+BT9+BW9+BZ9+CC9+CF9+CI9+CL9+CO9+CR9+CU9+CX9+DA9+DD9+DG9+DJ9+DM9+DP9+DS9+DV9+DY9+'Chorus Champs'!C9+'Chorus Champs'!F9+'Chorus Champs'!I9</f>
        <v>20479</v>
      </c>
      <c r="EB9" s="475">
        <v>16</v>
      </c>
      <c r="EC9" s="475">
        <f t="shared" si="0"/>
        <v>1280</v>
      </c>
      <c r="ED9" s="475">
        <f>+D9+G9+J9+M9+P9+S9+V9+Y9+AB9+AE9+AH9+AK9+AN9+AQ9+AT9+AW9+AZ9+BC9+BF9+BI9+BL9+BO9+BR9+BU9+BX9+CA9+CD9+CG9+CJ9+CM9+CP9+CS9+CV9+CY9+DB9+DE9+DH9+DK9+DN9+DQ9+DT9+DW9+DZ9+'Chorus Champs'!D9+'Chorus Champs'!G9+'Chorus Champs'!J9</f>
        <v>138</v>
      </c>
      <c r="EE9" s="475">
        <f>+ED9/3</f>
        <v>46</v>
      </c>
      <c r="EF9" s="284"/>
      <c r="EG9" s="284"/>
      <c r="EH9" s="284"/>
      <c r="EI9" s="284"/>
      <c r="EJ9" s="284"/>
      <c r="EK9" s="284"/>
      <c r="EL9" s="284"/>
    </row>
    <row r="10" spans="1:147" s="294" customFormat="1" ht="18" customHeight="1" x14ac:dyDescent="0.2">
      <c r="A10" s="288">
        <v>1979</v>
      </c>
      <c r="B10" s="686" t="s">
        <v>321</v>
      </c>
      <c r="C10" s="686"/>
      <c r="D10" s="686"/>
      <c r="E10" s="686"/>
      <c r="F10" s="686"/>
      <c r="G10" s="686"/>
      <c r="H10" s="686"/>
      <c r="I10" s="686"/>
      <c r="J10" s="687"/>
      <c r="K10" s="685" t="s">
        <v>321</v>
      </c>
      <c r="L10" s="686"/>
      <c r="M10" s="686"/>
      <c r="N10" s="686"/>
      <c r="O10" s="686"/>
      <c r="P10" s="686"/>
      <c r="Q10" s="686"/>
      <c r="R10" s="686"/>
      <c r="S10" s="687"/>
      <c r="T10" s="685" t="s">
        <v>321</v>
      </c>
      <c r="U10" s="686"/>
      <c r="V10" s="686"/>
      <c r="W10" s="686"/>
      <c r="X10" s="686"/>
      <c r="Y10" s="686"/>
      <c r="Z10" s="686"/>
      <c r="AA10" s="686"/>
      <c r="AB10" s="687"/>
      <c r="AC10" s="685" t="s">
        <v>321</v>
      </c>
      <c r="AD10" s="686"/>
      <c r="AE10" s="686"/>
      <c r="AF10" s="686"/>
      <c r="AG10" s="686"/>
      <c r="AH10" s="686"/>
      <c r="AI10" s="686"/>
      <c r="AJ10" s="686"/>
      <c r="AK10" s="687"/>
      <c r="AL10" s="685" t="s">
        <v>321</v>
      </c>
      <c r="AM10" s="686"/>
      <c r="AN10" s="686"/>
      <c r="AO10" s="686"/>
      <c r="AP10" s="686"/>
      <c r="AQ10" s="686"/>
      <c r="AR10" s="686"/>
      <c r="AS10" s="686"/>
      <c r="AT10" s="687"/>
      <c r="AU10" s="685" t="s">
        <v>321</v>
      </c>
      <c r="AV10" s="686"/>
      <c r="AW10" s="686"/>
      <c r="AX10" s="686"/>
      <c r="AY10" s="686"/>
      <c r="AZ10" s="686"/>
      <c r="BA10" s="686"/>
      <c r="BB10" s="686"/>
      <c r="BC10" s="687"/>
      <c r="BD10" s="685" t="s">
        <v>321</v>
      </c>
      <c r="BE10" s="686"/>
      <c r="BF10" s="686"/>
      <c r="BG10" s="686"/>
      <c r="BH10" s="686"/>
      <c r="BI10" s="686"/>
      <c r="BJ10" s="686"/>
      <c r="BK10" s="686"/>
      <c r="BL10" s="687"/>
      <c r="BM10" s="685" t="s">
        <v>321</v>
      </c>
      <c r="BN10" s="686"/>
      <c r="BO10" s="686"/>
      <c r="BP10" s="686"/>
      <c r="BQ10" s="686"/>
      <c r="BR10" s="686"/>
      <c r="BS10" s="686"/>
      <c r="BT10" s="686"/>
      <c r="BU10" s="687"/>
      <c r="BV10" s="685" t="s">
        <v>321</v>
      </c>
      <c r="BW10" s="686"/>
      <c r="BX10" s="686"/>
      <c r="BY10" s="686"/>
      <c r="BZ10" s="686"/>
      <c r="CA10" s="686"/>
      <c r="CB10" s="686"/>
      <c r="CC10" s="686"/>
      <c r="CD10" s="687"/>
      <c r="CE10" s="685" t="s">
        <v>321</v>
      </c>
      <c r="CF10" s="686"/>
      <c r="CG10" s="686"/>
      <c r="CH10" s="686"/>
      <c r="CI10" s="686"/>
      <c r="CJ10" s="686"/>
      <c r="CK10" s="686"/>
      <c r="CL10" s="686"/>
      <c r="CM10" s="687"/>
      <c r="CN10" s="685" t="s">
        <v>321</v>
      </c>
      <c r="CO10" s="686"/>
      <c r="CP10" s="686"/>
      <c r="CQ10" s="686"/>
      <c r="CR10" s="686"/>
      <c r="CS10" s="686"/>
      <c r="CT10" s="686"/>
      <c r="CU10" s="686"/>
      <c r="CV10" s="687"/>
      <c r="CW10" s="685" t="s">
        <v>321</v>
      </c>
      <c r="CX10" s="686"/>
      <c r="CY10" s="686"/>
      <c r="CZ10" s="686"/>
      <c r="DA10" s="686"/>
      <c r="DB10" s="686"/>
      <c r="DC10" s="686"/>
      <c r="DD10" s="686"/>
      <c r="DE10" s="686"/>
      <c r="DF10" s="685" t="s">
        <v>321</v>
      </c>
      <c r="DG10" s="686"/>
      <c r="DH10" s="686"/>
      <c r="DI10" s="686"/>
      <c r="DJ10" s="686"/>
      <c r="DK10" s="686"/>
      <c r="DL10" s="686"/>
      <c r="DM10" s="686"/>
      <c r="DN10" s="687"/>
      <c r="DO10" s="685" t="s">
        <v>321</v>
      </c>
      <c r="DP10" s="686"/>
      <c r="DQ10" s="686"/>
      <c r="DR10" s="686"/>
      <c r="DS10" s="686"/>
      <c r="DT10" s="686"/>
      <c r="DU10" s="686"/>
      <c r="DV10" s="686"/>
      <c r="DW10" s="687"/>
      <c r="DX10" s="537" t="s">
        <v>321</v>
      </c>
      <c r="DY10" s="538"/>
      <c r="DZ10" s="538"/>
      <c r="EA10" s="543"/>
      <c r="EB10" s="543"/>
      <c r="EC10" s="543"/>
      <c r="ED10" s="543"/>
      <c r="EE10" s="543"/>
      <c r="EF10" s="541"/>
      <c r="EG10" s="541"/>
      <c r="EH10" s="541"/>
      <c r="EI10" s="284"/>
      <c r="EJ10" s="284"/>
      <c r="EK10" s="284"/>
      <c r="EL10" s="284"/>
    </row>
    <row r="11" spans="1:147" s="294" customFormat="1" ht="18" customHeight="1" x14ac:dyDescent="0.2">
      <c r="A11" s="288">
        <v>1980</v>
      </c>
      <c r="B11" s="545" t="s">
        <v>2567</v>
      </c>
      <c r="C11" s="314">
        <v>1429</v>
      </c>
      <c r="D11" s="315">
        <v>43</v>
      </c>
      <c r="E11" s="316" t="s">
        <v>4287</v>
      </c>
      <c r="F11" s="317">
        <v>1373</v>
      </c>
      <c r="G11" s="318">
        <v>29</v>
      </c>
      <c r="H11" s="316" t="s">
        <v>4146</v>
      </c>
      <c r="I11" s="317">
        <v>1362</v>
      </c>
      <c r="J11" s="319">
        <v>29</v>
      </c>
      <c r="K11" s="320" t="s">
        <v>3867</v>
      </c>
      <c r="L11" s="314">
        <v>1332</v>
      </c>
      <c r="M11" s="315">
        <v>22</v>
      </c>
      <c r="N11" s="316" t="s">
        <v>4145</v>
      </c>
      <c r="O11" s="317">
        <v>1286</v>
      </c>
      <c r="P11" s="318">
        <v>26</v>
      </c>
      <c r="Q11" s="316" t="s">
        <v>4137</v>
      </c>
      <c r="R11" s="317">
        <v>1262</v>
      </c>
      <c r="S11" s="318">
        <v>30</v>
      </c>
      <c r="T11" s="313" t="s">
        <v>1430</v>
      </c>
      <c r="U11" s="314">
        <v>1094</v>
      </c>
      <c r="V11" s="315">
        <v>29</v>
      </c>
      <c r="W11" s="316" t="s">
        <v>4138</v>
      </c>
      <c r="X11" s="317">
        <v>1052</v>
      </c>
      <c r="Y11" s="318">
        <v>11</v>
      </c>
      <c r="Z11" s="316" t="s">
        <v>4139</v>
      </c>
      <c r="AA11" s="317">
        <v>949</v>
      </c>
      <c r="AB11" s="318">
        <v>16</v>
      </c>
      <c r="AC11" s="313"/>
      <c r="AD11" s="314"/>
      <c r="AE11" s="315"/>
      <c r="AF11" s="316"/>
      <c r="AG11" s="317"/>
      <c r="AH11" s="318"/>
      <c r="AI11" s="316"/>
      <c r="AJ11" s="317"/>
      <c r="AK11" s="318"/>
      <c r="AL11" s="313"/>
      <c r="AM11" s="314"/>
      <c r="AN11" s="315"/>
      <c r="AO11" s="316"/>
      <c r="AP11" s="317"/>
      <c r="AQ11" s="318"/>
      <c r="AR11" s="316"/>
      <c r="AS11" s="317"/>
      <c r="AT11" s="318"/>
      <c r="AU11" s="316"/>
      <c r="AV11" s="317"/>
      <c r="AW11" s="318"/>
      <c r="AX11" s="316"/>
      <c r="AY11" s="317"/>
      <c r="AZ11" s="318"/>
      <c r="BA11" s="316"/>
      <c r="BB11" s="317"/>
      <c r="BC11" s="318"/>
      <c r="BD11" s="316"/>
      <c r="BE11" s="317"/>
      <c r="BF11" s="318"/>
      <c r="BG11" s="316"/>
      <c r="BH11" s="317"/>
      <c r="BI11" s="318"/>
      <c r="BJ11" s="316"/>
      <c r="BK11" s="317"/>
      <c r="BL11" s="318"/>
      <c r="BM11" s="316"/>
      <c r="BN11" s="317"/>
      <c r="BO11" s="318"/>
      <c r="BP11" s="316"/>
      <c r="BQ11" s="317"/>
      <c r="BR11" s="318"/>
      <c r="BS11" s="316"/>
      <c r="BT11" s="317"/>
      <c r="BU11" s="318"/>
      <c r="BV11" s="316"/>
      <c r="BW11" s="317"/>
      <c r="BX11" s="318"/>
      <c r="BY11" s="316"/>
      <c r="BZ11" s="317"/>
      <c r="CA11" s="318"/>
      <c r="CB11" s="316"/>
      <c r="CC11" s="317"/>
      <c r="CD11" s="318"/>
      <c r="CE11" s="316"/>
      <c r="CF11" s="317"/>
      <c r="CG11" s="318"/>
      <c r="CH11" s="316"/>
      <c r="CI11" s="317"/>
      <c r="CJ11" s="318"/>
      <c r="CK11" s="316"/>
      <c r="CL11" s="317"/>
      <c r="CM11" s="318"/>
      <c r="CN11" s="316"/>
      <c r="CO11" s="317"/>
      <c r="CP11" s="318"/>
      <c r="CQ11" s="316"/>
      <c r="CR11" s="317"/>
      <c r="CS11" s="318"/>
      <c r="CT11" s="316"/>
      <c r="CU11" s="317"/>
      <c r="CV11" s="318"/>
      <c r="CW11" s="316"/>
      <c r="CX11" s="317"/>
      <c r="CY11" s="318"/>
      <c r="CZ11" s="316"/>
      <c r="DA11" s="317"/>
      <c r="DB11" s="318"/>
      <c r="DC11" s="316"/>
      <c r="DD11" s="317"/>
      <c r="DE11" s="317"/>
      <c r="DF11" s="316"/>
      <c r="DG11" s="317"/>
      <c r="DH11" s="317"/>
      <c r="DI11" s="316"/>
      <c r="DJ11" s="317"/>
      <c r="DK11" s="317"/>
      <c r="DL11" s="316"/>
      <c r="DM11" s="317"/>
      <c r="DN11" s="318"/>
      <c r="DO11" s="316"/>
      <c r="DP11" s="317"/>
      <c r="DQ11" s="317"/>
      <c r="DR11" s="316"/>
      <c r="DS11" s="317"/>
      <c r="DT11" s="317"/>
      <c r="DU11" s="316"/>
      <c r="DV11" s="317"/>
      <c r="DW11" s="318"/>
      <c r="DX11" s="316"/>
      <c r="DY11" s="317"/>
      <c r="DZ11" s="317"/>
      <c r="EA11" s="475">
        <f>+C11+F11+I11+L11+O11+R11+U11+X11+AA11+AD11+AG11+AJ11+AM11+AP11+AS11+AV11+AY11+BB11+BE11+BH11+BK11+BN11+BQ11+BT11+BW11+BZ11+CC11+CF11+CI11+CL11+CO11+CR11+CU11+CX11+DA11+DD11+DG11+DJ11+DM11+DP11+DS11+DV11+DY11+'Chorus Champs'!C11+'Chorus Champs'!F11+'Chorus Champs'!I11</f>
        <v>15757</v>
      </c>
      <c r="EB11" s="475">
        <v>12</v>
      </c>
      <c r="EC11" s="475">
        <f t="shared" si="0"/>
        <v>1313</v>
      </c>
      <c r="ED11" s="475">
        <f>+D11+G11+J11+M11+P11+S11+V11+Y11+AB11+AE11+AH11+AK11+AN11+AQ11+AT11+AW11+AZ11+BC11+BF11+BI11+BL11+BO11+BR11+BU11+BX11+CA11+CD11+CG11+CJ11+CM11+CP11+CS11+CV11+CY11+DB11+DE11+DH11+DK11+DN11+DQ11+DT11+DW11+DZ11+'Chorus Champs'!D11+'Chorus Champs'!G11+'Chorus Champs'!J11</f>
        <v>357</v>
      </c>
      <c r="EE11" s="475">
        <f t="shared" ref="EE11:EE46" si="1">+ED11/EB11</f>
        <v>30</v>
      </c>
      <c r="EF11" s="284"/>
      <c r="EG11" s="284"/>
      <c r="EH11" s="284"/>
      <c r="EI11" s="539"/>
      <c r="EJ11" s="539"/>
      <c r="EK11" s="539"/>
      <c r="EL11" s="539"/>
      <c r="EM11" s="539"/>
      <c r="EN11" s="539"/>
      <c r="EO11" s="539"/>
      <c r="EP11" s="539"/>
      <c r="EQ11" s="539"/>
    </row>
    <row r="12" spans="1:147" s="294" customFormat="1" ht="18" customHeight="1" x14ac:dyDescent="0.2">
      <c r="A12" s="288">
        <v>1981</v>
      </c>
      <c r="B12" s="546" t="s">
        <v>1979</v>
      </c>
      <c r="C12" s="322">
        <v>1676</v>
      </c>
      <c r="D12" s="323">
        <v>45</v>
      </c>
      <c r="E12" s="320" t="s">
        <v>4287</v>
      </c>
      <c r="F12" s="324">
        <v>1657</v>
      </c>
      <c r="G12" s="325">
        <v>28</v>
      </c>
      <c r="H12" s="320" t="s">
        <v>1960</v>
      </c>
      <c r="I12" s="324">
        <v>1598</v>
      </c>
      <c r="J12" s="287">
        <v>38</v>
      </c>
      <c r="K12" s="320" t="s">
        <v>4148</v>
      </c>
      <c r="L12" s="322">
        <v>1593</v>
      </c>
      <c r="M12" s="323">
        <v>31</v>
      </c>
      <c r="N12" s="320" t="s">
        <v>3867</v>
      </c>
      <c r="O12" s="324">
        <v>1503</v>
      </c>
      <c r="P12" s="325">
        <v>28</v>
      </c>
      <c r="Q12" s="320" t="s">
        <v>1661</v>
      </c>
      <c r="R12" s="324">
        <v>1473</v>
      </c>
      <c r="S12" s="325">
        <v>27</v>
      </c>
      <c r="T12" s="321" t="s">
        <v>1977</v>
      </c>
      <c r="U12" s="322">
        <v>1466</v>
      </c>
      <c r="V12" s="323">
        <v>37</v>
      </c>
      <c r="W12" s="320" t="s">
        <v>2566</v>
      </c>
      <c r="X12" s="324">
        <v>1434</v>
      </c>
      <c r="Y12" s="325">
        <v>26</v>
      </c>
      <c r="Z12" s="320" t="s">
        <v>1662</v>
      </c>
      <c r="AA12" s="324">
        <v>1395</v>
      </c>
      <c r="AB12" s="325">
        <v>25</v>
      </c>
      <c r="AC12" s="321" t="s">
        <v>1959</v>
      </c>
      <c r="AD12" s="322">
        <v>1367</v>
      </c>
      <c r="AE12" s="323">
        <v>28</v>
      </c>
      <c r="AF12" s="320" t="s">
        <v>4143</v>
      </c>
      <c r="AG12" s="324">
        <v>1335</v>
      </c>
      <c r="AH12" s="325">
        <v>23</v>
      </c>
      <c r="AI12" s="320" t="s">
        <v>2719</v>
      </c>
      <c r="AJ12" s="324">
        <v>1279</v>
      </c>
      <c r="AK12" s="325">
        <v>23</v>
      </c>
      <c r="AL12" s="321" t="s">
        <v>1663</v>
      </c>
      <c r="AM12" s="322">
        <v>1259</v>
      </c>
      <c r="AN12" s="323">
        <v>17</v>
      </c>
      <c r="AO12" s="320"/>
      <c r="AP12" s="324"/>
      <c r="AQ12" s="325"/>
      <c r="AR12" s="320"/>
      <c r="AS12" s="324"/>
      <c r="AT12" s="325"/>
      <c r="AU12" s="320"/>
      <c r="AV12" s="324"/>
      <c r="AW12" s="325"/>
      <c r="AX12" s="320"/>
      <c r="AY12" s="324"/>
      <c r="AZ12" s="325"/>
      <c r="BA12" s="320"/>
      <c r="BB12" s="324"/>
      <c r="BC12" s="325"/>
      <c r="BD12" s="320"/>
      <c r="BE12" s="324"/>
      <c r="BF12" s="325"/>
      <c r="BG12" s="320"/>
      <c r="BH12" s="324"/>
      <c r="BI12" s="325"/>
      <c r="BJ12" s="320"/>
      <c r="BK12" s="324"/>
      <c r="BL12" s="325"/>
      <c r="BM12" s="320"/>
      <c r="BN12" s="324"/>
      <c r="BO12" s="325"/>
      <c r="BP12" s="320"/>
      <c r="BQ12" s="324"/>
      <c r="BR12" s="325"/>
      <c r="BS12" s="320"/>
      <c r="BT12" s="324"/>
      <c r="BU12" s="325"/>
      <c r="BV12" s="320"/>
      <c r="BW12" s="324"/>
      <c r="BX12" s="325"/>
      <c r="BY12" s="320"/>
      <c r="BZ12" s="324"/>
      <c r="CA12" s="325"/>
      <c r="CB12" s="320"/>
      <c r="CC12" s="324"/>
      <c r="CD12" s="325"/>
      <c r="CE12" s="320"/>
      <c r="CF12" s="324"/>
      <c r="CG12" s="325"/>
      <c r="CH12" s="320"/>
      <c r="CI12" s="324"/>
      <c r="CJ12" s="325"/>
      <c r="CK12" s="320"/>
      <c r="CL12" s="324"/>
      <c r="CM12" s="325"/>
      <c r="CN12" s="320"/>
      <c r="CO12" s="324"/>
      <c r="CP12" s="325"/>
      <c r="CQ12" s="320"/>
      <c r="CR12" s="324"/>
      <c r="CS12" s="325"/>
      <c r="CT12" s="320"/>
      <c r="CU12" s="324"/>
      <c r="CV12" s="325"/>
      <c r="CW12" s="320"/>
      <c r="CX12" s="324"/>
      <c r="CY12" s="325"/>
      <c r="CZ12" s="320"/>
      <c r="DA12" s="324"/>
      <c r="DB12" s="325"/>
      <c r="DC12" s="320"/>
      <c r="DD12" s="324"/>
      <c r="DE12" s="324"/>
      <c r="DF12" s="320"/>
      <c r="DG12" s="324"/>
      <c r="DH12" s="324"/>
      <c r="DI12" s="320"/>
      <c r="DJ12" s="324"/>
      <c r="DK12" s="324"/>
      <c r="DL12" s="320"/>
      <c r="DM12" s="324"/>
      <c r="DN12" s="325"/>
      <c r="DO12" s="320"/>
      <c r="DP12" s="324"/>
      <c r="DQ12" s="324"/>
      <c r="DR12" s="320"/>
      <c r="DS12" s="324"/>
      <c r="DT12" s="324"/>
      <c r="DU12" s="320"/>
      <c r="DV12" s="324"/>
      <c r="DW12" s="325"/>
      <c r="DX12" s="320"/>
      <c r="DY12" s="324"/>
      <c r="DZ12" s="324"/>
      <c r="EA12" s="475">
        <f>+C12+F12+I12+L12+O12+R12+U12+X12+AA12+AD12+AG12+AJ12+AM12+AP12+AS12+AV12+AY12+BB12+BE12+BH12+BK12+BN12+BQ12+BT12+BW12+BZ12+CC12+CF12+CI12+CL12+CO12+CR12+CU12+CX12+DA12+DD12+DG12+DJ12+DM12+DP12+DS12+DV12+DY12+'Chorus Champs'!C12+'Chorus Champs'!F12+'Chorus Champs'!I12</f>
        <v>24631</v>
      </c>
      <c r="EB12" s="475">
        <v>16</v>
      </c>
      <c r="EC12" s="475">
        <f t="shared" si="0"/>
        <v>1539</v>
      </c>
      <c r="ED12" s="475">
        <f>+D12+G12+J12+M12+P12+S12+V12+Y12+AB12+AE12+AH12+AK12+AN12+AQ12+AT12+AW12+AZ12+BC12+BF12+BI12+BL12+BO12+BR12+BU12+BX12+CA12+CD12+CG12+CJ12+CM12+CP12+CS12+CV12+CY12+DB12+DE12+DH12+DK12+DN12+DQ12+DT12+DW12+DZ12+'Chorus Champs'!D12+'Chorus Champs'!G12+'Chorus Champs'!J12</f>
        <v>534</v>
      </c>
      <c r="EE12" s="475">
        <f t="shared" si="1"/>
        <v>33</v>
      </c>
      <c r="EF12" s="284"/>
      <c r="EG12" s="284"/>
      <c r="EH12" s="284"/>
      <c r="EI12" s="284"/>
      <c r="EJ12" s="284"/>
      <c r="EK12" s="284"/>
      <c r="EL12" s="284"/>
    </row>
    <row r="13" spans="1:147" s="294" customFormat="1" ht="18" customHeight="1" x14ac:dyDescent="0.2">
      <c r="A13" s="288">
        <v>1982</v>
      </c>
      <c r="B13" s="546" t="s">
        <v>1979</v>
      </c>
      <c r="C13" s="322">
        <v>1751</v>
      </c>
      <c r="D13" s="323">
        <v>52</v>
      </c>
      <c r="E13" s="320" t="s">
        <v>4148</v>
      </c>
      <c r="F13" s="324">
        <v>1699</v>
      </c>
      <c r="G13" s="325">
        <v>36</v>
      </c>
      <c r="H13" s="320" t="s">
        <v>4146</v>
      </c>
      <c r="I13" s="324">
        <v>1661</v>
      </c>
      <c r="J13" s="287">
        <v>30</v>
      </c>
      <c r="K13" s="320" t="s">
        <v>3867</v>
      </c>
      <c r="L13" s="322">
        <v>1627</v>
      </c>
      <c r="M13" s="323">
        <v>34</v>
      </c>
      <c r="N13" s="320" t="s">
        <v>4287</v>
      </c>
      <c r="O13" s="324">
        <v>1604</v>
      </c>
      <c r="P13" s="325">
        <v>33</v>
      </c>
      <c r="Q13" s="320" t="s">
        <v>2567</v>
      </c>
      <c r="R13" s="324">
        <v>1474</v>
      </c>
      <c r="S13" s="325">
        <v>44</v>
      </c>
      <c r="T13" s="321" t="s">
        <v>2566</v>
      </c>
      <c r="U13" s="322">
        <v>1390</v>
      </c>
      <c r="V13" s="323">
        <v>27</v>
      </c>
      <c r="W13" s="320" t="s">
        <v>4107</v>
      </c>
      <c r="X13" s="324">
        <v>1385</v>
      </c>
      <c r="Y13" s="325">
        <v>19</v>
      </c>
      <c r="Z13" s="320" t="s">
        <v>1664</v>
      </c>
      <c r="AA13" s="324">
        <v>1349</v>
      </c>
      <c r="AB13" s="325">
        <v>27</v>
      </c>
      <c r="AC13" s="321" t="s">
        <v>1665</v>
      </c>
      <c r="AD13" s="322">
        <v>1349</v>
      </c>
      <c r="AE13" s="323">
        <v>25</v>
      </c>
      <c r="AF13" s="320" t="s">
        <v>1666</v>
      </c>
      <c r="AG13" s="324">
        <v>1327</v>
      </c>
      <c r="AH13" s="325">
        <v>23</v>
      </c>
      <c r="AI13" s="320" t="s">
        <v>1667</v>
      </c>
      <c r="AJ13" s="324">
        <v>1315</v>
      </c>
      <c r="AK13" s="325">
        <v>21</v>
      </c>
      <c r="AL13" s="321" t="s">
        <v>4282</v>
      </c>
      <c r="AM13" s="322">
        <v>1289</v>
      </c>
      <c r="AN13" s="323">
        <v>21</v>
      </c>
      <c r="AO13" s="320"/>
      <c r="AP13" s="324"/>
      <c r="AQ13" s="325"/>
      <c r="AR13" s="320"/>
      <c r="AS13" s="324"/>
      <c r="AT13" s="325"/>
      <c r="AU13" s="320"/>
      <c r="AV13" s="324"/>
      <c r="AW13" s="325"/>
      <c r="AX13" s="320"/>
      <c r="AY13" s="324"/>
      <c r="AZ13" s="325"/>
      <c r="BA13" s="320"/>
      <c r="BB13" s="324"/>
      <c r="BC13" s="325"/>
      <c r="BD13" s="320"/>
      <c r="BE13" s="324"/>
      <c r="BF13" s="325"/>
      <c r="BG13" s="320"/>
      <c r="BH13" s="324"/>
      <c r="BI13" s="325"/>
      <c r="BJ13" s="320"/>
      <c r="BK13" s="324"/>
      <c r="BL13" s="325"/>
      <c r="BM13" s="320"/>
      <c r="BN13" s="324"/>
      <c r="BO13" s="325"/>
      <c r="BP13" s="320"/>
      <c r="BQ13" s="324"/>
      <c r="BR13" s="325"/>
      <c r="BS13" s="320"/>
      <c r="BT13" s="324"/>
      <c r="BU13" s="325"/>
      <c r="BV13" s="320"/>
      <c r="BW13" s="324"/>
      <c r="BX13" s="325"/>
      <c r="BY13" s="320"/>
      <c r="BZ13" s="324"/>
      <c r="CA13" s="325"/>
      <c r="CB13" s="320"/>
      <c r="CC13" s="324"/>
      <c r="CD13" s="325"/>
      <c r="CE13" s="320"/>
      <c r="CF13" s="324"/>
      <c r="CG13" s="325"/>
      <c r="CH13" s="320"/>
      <c r="CI13" s="324"/>
      <c r="CJ13" s="325"/>
      <c r="CK13" s="320"/>
      <c r="CL13" s="324"/>
      <c r="CM13" s="325"/>
      <c r="CN13" s="320"/>
      <c r="CO13" s="324"/>
      <c r="CP13" s="325"/>
      <c r="CQ13" s="320"/>
      <c r="CR13" s="324"/>
      <c r="CS13" s="325"/>
      <c r="CT13" s="320"/>
      <c r="CU13" s="324"/>
      <c r="CV13" s="325"/>
      <c r="CW13" s="320"/>
      <c r="CX13" s="324"/>
      <c r="CY13" s="325"/>
      <c r="CZ13" s="320"/>
      <c r="DA13" s="324"/>
      <c r="DB13" s="325"/>
      <c r="DC13" s="320"/>
      <c r="DD13" s="324"/>
      <c r="DE13" s="324"/>
      <c r="DF13" s="320"/>
      <c r="DG13" s="324"/>
      <c r="DH13" s="324"/>
      <c r="DI13" s="320"/>
      <c r="DJ13" s="324"/>
      <c r="DK13" s="324"/>
      <c r="DL13" s="320"/>
      <c r="DM13" s="324"/>
      <c r="DN13" s="325"/>
      <c r="DO13" s="320"/>
      <c r="DP13" s="324"/>
      <c r="DQ13" s="324"/>
      <c r="DR13" s="320"/>
      <c r="DS13" s="324"/>
      <c r="DT13" s="324"/>
      <c r="DU13" s="320"/>
      <c r="DV13" s="324"/>
      <c r="DW13" s="325"/>
      <c r="DX13" s="320"/>
      <c r="DY13" s="324"/>
      <c r="DZ13" s="324"/>
      <c r="EA13" s="475">
        <f>+C13+F13+I13+L13+O13+R13+U13+X13+AA13+AD13+AG13+AJ13+AM13+AP13+AS13+AV13+AY13+BB13+BE13+BH13+BK13+BN13+BQ13+BT13+BW13+BZ13+CC13+CF13+CI13+CL13+CO13+CR13+CU13+CX13+DA13+DD13+DG13+DJ13+DM13+DP13+DS13+DV13+DY13+'Chorus Champs'!C13+'Chorus Champs'!F13+'Chorus Champs'!I13</f>
        <v>24652</v>
      </c>
      <c r="EB13" s="475">
        <v>16</v>
      </c>
      <c r="EC13" s="475">
        <f t="shared" si="0"/>
        <v>1541</v>
      </c>
      <c r="ED13" s="475">
        <f>+D13+G13+J13+M13+P13+S13+V13+Y13+AB13+AE13+AH13+AK13+AN13+AQ13+AT13+AW13+AZ13+BC13+BF13+BI13+BL13+BO13+BR13+BU13+BX13+CA13+CD13+CG13+CJ13+CM13+CP13+CS13+CV13+CY13+DB13+DE13+DH13+DK13+DN13+DQ13+DT13+DW13+DZ13+'Chorus Champs'!D13+'Chorus Champs'!G13+'Chorus Champs'!J13</f>
        <v>558</v>
      </c>
      <c r="EE13" s="475">
        <f t="shared" si="1"/>
        <v>35</v>
      </c>
    </row>
    <row r="14" spans="1:147" s="294" customFormat="1" ht="18" customHeight="1" x14ac:dyDescent="0.2">
      <c r="A14" s="288">
        <v>1983</v>
      </c>
      <c r="B14" s="546" t="s">
        <v>4149</v>
      </c>
      <c r="C14" s="322">
        <v>1820</v>
      </c>
      <c r="D14" s="323">
        <v>62</v>
      </c>
      <c r="E14" s="320" t="s">
        <v>4148</v>
      </c>
      <c r="F14" s="324">
        <v>1691</v>
      </c>
      <c r="G14" s="325">
        <v>43</v>
      </c>
      <c r="H14" s="320" t="s">
        <v>4147</v>
      </c>
      <c r="I14" s="324">
        <v>1666</v>
      </c>
      <c r="J14" s="287">
        <v>35</v>
      </c>
      <c r="K14" s="321" t="s">
        <v>4146</v>
      </c>
      <c r="L14" s="322">
        <v>1548</v>
      </c>
      <c r="M14" s="323">
        <v>44</v>
      </c>
      <c r="N14" s="320" t="s">
        <v>4145</v>
      </c>
      <c r="O14" s="324">
        <v>1470</v>
      </c>
      <c r="P14" s="325">
        <v>30</v>
      </c>
      <c r="Q14" s="320" t="s">
        <v>3867</v>
      </c>
      <c r="R14" s="324">
        <v>1448</v>
      </c>
      <c r="S14" s="325">
        <v>33</v>
      </c>
      <c r="T14" s="321" t="s">
        <v>4144</v>
      </c>
      <c r="U14" s="322">
        <v>1369</v>
      </c>
      <c r="V14" s="323">
        <v>32</v>
      </c>
      <c r="W14" s="320" t="s">
        <v>4143</v>
      </c>
      <c r="X14" s="324">
        <v>1368</v>
      </c>
      <c r="Y14" s="325">
        <v>23</v>
      </c>
      <c r="Z14" s="320" t="s">
        <v>4142</v>
      </c>
      <c r="AA14" s="324">
        <v>1287</v>
      </c>
      <c r="AB14" s="325">
        <v>25</v>
      </c>
      <c r="AC14" s="321" t="s">
        <v>4141</v>
      </c>
      <c r="AD14" s="322">
        <v>1278</v>
      </c>
      <c r="AE14" s="323">
        <v>22</v>
      </c>
      <c r="AF14" s="320" t="s">
        <v>4140</v>
      </c>
      <c r="AG14" s="324">
        <v>1275</v>
      </c>
      <c r="AH14" s="325">
        <v>19</v>
      </c>
      <c r="AI14" s="320" t="s">
        <v>1669</v>
      </c>
      <c r="AJ14" s="324">
        <v>1227</v>
      </c>
      <c r="AK14" s="325">
        <v>21</v>
      </c>
      <c r="AL14" s="321" t="s">
        <v>1668</v>
      </c>
      <c r="AM14" s="322">
        <v>1206</v>
      </c>
      <c r="AN14" s="323">
        <v>17</v>
      </c>
      <c r="AO14" s="320"/>
      <c r="AP14" s="324"/>
      <c r="AQ14" s="325"/>
      <c r="AR14" s="320"/>
      <c r="AS14" s="324"/>
      <c r="AT14" s="325"/>
      <c r="AU14" s="320"/>
      <c r="AV14" s="324"/>
      <c r="AW14" s="325"/>
      <c r="AX14" s="320"/>
      <c r="AY14" s="324"/>
      <c r="AZ14" s="325"/>
      <c r="BA14" s="320"/>
      <c r="BB14" s="324"/>
      <c r="BC14" s="325"/>
      <c r="BD14" s="320"/>
      <c r="BE14" s="324"/>
      <c r="BF14" s="325"/>
      <c r="BG14" s="320"/>
      <c r="BH14" s="324"/>
      <c r="BI14" s="325"/>
      <c r="BJ14" s="320"/>
      <c r="BK14" s="324"/>
      <c r="BL14" s="325"/>
      <c r="BM14" s="320"/>
      <c r="BN14" s="324"/>
      <c r="BO14" s="325"/>
      <c r="BP14" s="320"/>
      <c r="BQ14" s="324"/>
      <c r="BR14" s="325"/>
      <c r="BS14" s="320"/>
      <c r="BT14" s="324"/>
      <c r="BU14" s="325"/>
      <c r="BV14" s="320"/>
      <c r="BW14" s="324"/>
      <c r="BX14" s="325"/>
      <c r="BY14" s="320"/>
      <c r="BZ14" s="324"/>
      <c r="CA14" s="325"/>
      <c r="CB14" s="320"/>
      <c r="CC14" s="324"/>
      <c r="CD14" s="325"/>
      <c r="CE14" s="320"/>
      <c r="CF14" s="324"/>
      <c r="CG14" s="325"/>
      <c r="CH14" s="320"/>
      <c r="CI14" s="324"/>
      <c r="CJ14" s="325"/>
      <c r="CK14" s="320"/>
      <c r="CL14" s="324"/>
      <c r="CM14" s="325"/>
      <c r="CN14" s="320"/>
      <c r="CO14" s="324"/>
      <c r="CP14" s="325"/>
      <c r="CQ14" s="320"/>
      <c r="CR14" s="324"/>
      <c r="CS14" s="325"/>
      <c r="CT14" s="320"/>
      <c r="CU14" s="324"/>
      <c r="CV14" s="325"/>
      <c r="CW14" s="320"/>
      <c r="CX14" s="324"/>
      <c r="CY14" s="325"/>
      <c r="CZ14" s="320"/>
      <c r="DA14" s="324"/>
      <c r="DB14" s="325"/>
      <c r="DC14" s="320"/>
      <c r="DD14" s="324"/>
      <c r="DE14" s="324"/>
      <c r="DF14" s="320"/>
      <c r="DG14" s="324"/>
      <c r="DH14" s="324"/>
      <c r="DI14" s="320"/>
      <c r="DJ14" s="324"/>
      <c r="DK14" s="324"/>
      <c r="DL14" s="320"/>
      <c r="DM14" s="324"/>
      <c r="DN14" s="325"/>
      <c r="DO14" s="320"/>
      <c r="DP14" s="324"/>
      <c r="DQ14" s="324"/>
      <c r="DR14" s="320"/>
      <c r="DS14" s="324"/>
      <c r="DT14" s="324"/>
      <c r="DU14" s="320"/>
      <c r="DV14" s="324"/>
      <c r="DW14" s="325"/>
      <c r="DX14" s="320"/>
      <c r="DY14" s="324"/>
      <c r="DZ14" s="324"/>
      <c r="EA14" s="475">
        <f>+C14+F14+I14+L14+O14+R14+U14+X14+AA14+AD14+AG14+AJ14+AM14+AP14+AS14+AV14+AY14+BB14+BE14+BH14+BK14+BN14+BQ14+BT14+BW14+BZ14+CC14+CF14+CI14+CL14+CO14+CR14+CU14+CX14+DA14+DD14+DG14+DJ14+DM14+DP14+DS14+DV14+DY14+'Chorus Champs'!C14+'Chorus Champs'!F14+'Chorus Champs'!I14</f>
        <v>24200</v>
      </c>
      <c r="EB14" s="475">
        <v>16</v>
      </c>
      <c r="EC14" s="475">
        <f t="shared" si="0"/>
        <v>1513</v>
      </c>
      <c r="ED14" s="475">
        <f>+D14+G14+J14+M14+P14+S14+V14+Y14+AB14+AE14+AH14+AK14+AN14+AQ14+AT14+AW14+AZ14+BC14+BF14+BI14+BL14+BO14+BR14+BU14+BX14+CA14+CD14+CG14+CJ14+CM14+CP14+CS14+CV14+CY14+DB14+DE14+DH14+DK14+DN14+DQ14+DT14+DW14+DZ14+'Chorus Champs'!D14+'Chorus Champs'!G14+'Chorus Champs'!J14</f>
        <v>574</v>
      </c>
      <c r="EE14" s="475">
        <f t="shared" si="1"/>
        <v>36</v>
      </c>
    </row>
    <row r="15" spans="1:147" s="294" customFormat="1" ht="18" customHeight="1" x14ac:dyDescent="0.2">
      <c r="A15" s="288">
        <v>1984</v>
      </c>
      <c r="B15" s="546" t="s">
        <v>4149</v>
      </c>
      <c r="C15" s="322">
        <v>1745</v>
      </c>
      <c r="D15" s="323">
        <v>58</v>
      </c>
      <c r="E15" s="320" t="s">
        <v>1917</v>
      </c>
      <c r="F15" s="324">
        <v>1613</v>
      </c>
      <c r="G15" s="325">
        <v>32</v>
      </c>
      <c r="H15" s="320" t="s">
        <v>1918</v>
      </c>
      <c r="I15" s="324">
        <v>1515</v>
      </c>
      <c r="J15" s="287">
        <v>38</v>
      </c>
      <c r="K15" s="321" t="s">
        <v>1919</v>
      </c>
      <c r="L15" s="322">
        <v>1503</v>
      </c>
      <c r="M15" s="323">
        <v>36</v>
      </c>
      <c r="N15" s="320" t="s">
        <v>1920</v>
      </c>
      <c r="O15" s="324">
        <v>1498</v>
      </c>
      <c r="P15" s="325">
        <v>41</v>
      </c>
      <c r="Q15" s="320" t="s">
        <v>3867</v>
      </c>
      <c r="R15" s="324">
        <v>1493</v>
      </c>
      <c r="S15" s="325">
        <v>34</v>
      </c>
      <c r="T15" s="321" t="s">
        <v>1921</v>
      </c>
      <c r="U15" s="322">
        <v>1400</v>
      </c>
      <c r="V15" s="323">
        <v>30</v>
      </c>
      <c r="W15" s="320" t="s">
        <v>1922</v>
      </c>
      <c r="X15" s="324">
        <v>1372</v>
      </c>
      <c r="Y15" s="325">
        <v>19</v>
      </c>
      <c r="Z15" s="320" t="s">
        <v>1923</v>
      </c>
      <c r="AA15" s="324">
        <v>1362</v>
      </c>
      <c r="AB15" s="325">
        <v>28</v>
      </c>
      <c r="AC15" s="321" t="s">
        <v>4141</v>
      </c>
      <c r="AD15" s="322">
        <v>1338</v>
      </c>
      <c r="AE15" s="323">
        <v>28</v>
      </c>
      <c r="AF15" s="320" t="s">
        <v>1924</v>
      </c>
      <c r="AG15" s="324">
        <v>1321</v>
      </c>
      <c r="AH15" s="325">
        <v>34</v>
      </c>
      <c r="AI15" s="320" t="s">
        <v>1668</v>
      </c>
      <c r="AJ15" s="324">
        <v>1291</v>
      </c>
      <c r="AK15" s="325">
        <v>16</v>
      </c>
      <c r="AL15" s="321" t="s">
        <v>1925</v>
      </c>
      <c r="AM15" s="322">
        <v>1141</v>
      </c>
      <c r="AN15" s="323">
        <v>16</v>
      </c>
      <c r="AO15" s="320"/>
      <c r="AP15" s="324"/>
      <c r="AQ15" s="325"/>
      <c r="AR15" s="320"/>
      <c r="AS15" s="324"/>
      <c r="AT15" s="325"/>
      <c r="AU15" s="320"/>
      <c r="AV15" s="324"/>
      <c r="AW15" s="325"/>
      <c r="AX15" s="320"/>
      <c r="AY15" s="324"/>
      <c r="AZ15" s="325"/>
      <c r="BA15" s="320"/>
      <c r="BB15" s="324"/>
      <c r="BC15" s="325"/>
      <c r="BD15" s="320"/>
      <c r="BE15" s="324"/>
      <c r="BF15" s="325"/>
      <c r="BG15" s="320"/>
      <c r="BH15" s="324"/>
      <c r="BI15" s="325"/>
      <c r="BJ15" s="320"/>
      <c r="BK15" s="324"/>
      <c r="BL15" s="325"/>
      <c r="BM15" s="320"/>
      <c r="BN15" s="324"/>
      <c r="BO15" s="325"/>
      <c r="BP15" s="320"/>
      <c r="BQ15" s="324"/>
      <c r="BR15" s="325"/>
      <c r="BS15" s="320"/>
      <c r="BT15" s="324"/>
      <c r="BU15" s="325"/>
      <c r="BV15" s="320"/>
      <c r="BW15" s="324"/>
      <c r="BX15" s="325"/>
      <c r="BY15" s="320"/>
      <c r="BZ15" s="324"/>
      <c r="CA15" s="325"/>
      <c r="CB15" s="320"/>
      <c r="CC15" s="324"/>
      <c r="CD15" s="325"/>
      <c r="CE15" s="320"/>
      <c r="CF15" s="324"/>
      <c r="CG15" s="325"/>
      <c r="CH15" s="320"/>
      <c r="CI15" s="324"/>
      <c r="CJ15" s="325"/>
      <c r="CK15" s="320"/>
      <c r="CL15" s="324"/>
      <c r="CM15" s="325"/>
      <c r="CN15" s="320"/>
      <c r="CO15" s="324"/>
      <c r="CP15" s="325"/>
      <c r="CQ15" s="320"/>
      <c r="CR15" s="324"/>
      <c r="CS15" s="325"/>
      <c r="CT15" s="320"/>
      <c r="CU15" s="324"/>
      <c r="CV15" s="325"/>
      <c r="CW15" s="320"/>
      <c r="CX15" s="324"/>
      <c r="CY15" s="325"/>
      <c r="CZ15" s="320"/>
      <c r="DA15" s="324"/>
      <c r="DB15" s="325"/>
      <c r="DC15" s="320"/>
      <c r="DD15" s="324"/>
      <c r="DE15" s="324"/>
      <c r="DF15" s="320"/>
      <c r="DG15" s="324"/>
      <c r="DH15" s="324"/>
      <c r="DI15" s="320"/>
      <c r="DJ15" s="324"/>
      <c r="DK15" s="324"/>
      <c r="DL15" s="320"/>
      <c r="DM15" s="324"/>
      <c r="DN15" s="325"/>
      <c r="DO15" s="320"/>
      <c r="DP15" s="324"/>
      <c r="DQ15" s="324"/>
      <c r="DR15" s="320"/>
      <c r="DS15" s="324"/>
      <c r="DT15" s="324"/>
      <c r="DU15" s="320"/>
      <c r="DV15" s="324"/>
      <c r="DW15" s="325"/>
      <c r="DX15" s="320"/>
      <c r="DY15" s="324"/>
      <c r="DZ15" s="324"/>
      <c r="EA15" s="475">
        <f>+C15+F15+I15+L15+O15+R15+U15+X15+AA15+AD15+AG15+AJ15+AM15+AP15+AS15+AV15+AY15+BB15+BE15+BH15+BK15+BN15+BQ15+BT15+BW15+BZ15+CC15+CF15+CI15+CL15+CO15+CR15+CU15+CX15+DA15+DD15+DG15+DJ15+DM15+DP15+DS15+DV15+DY15+'Chorus Champs'!C15+'Chorus Champs'!F15+'Chorus Champs'!I15</f>
        <v>24043</v>
      </c>
      <c r="EB15" s="475">
        <v>16</v>
      </c>
      <c r="EC15" s="475">
        <f t="shared" si="0"/>
        <v>1503</v>
      </c>
      <c r="ED15" s="475">
        <f>+D15+G15+J15+M15+P15+S15+V15+Y15+AB15+AE15+AH15+AK15+AN15+AQ15+AT15+AW15+AZ15+BC15+BF15+BI15+BL15+BO15+BR15+BU15+BX15+CA15+CD15+CG15+CJ15+CM15+CP15+CS15+CV15+CY15+DB15+DE15+DH15+DK15+DN15+DQ15+DT15+DW15+DZ15+'Chorus Champs'!D15+'Chorus Champs'!G15+'Chorus Champs'!J15</f>
        <v>568</v>
      </c>
      <c r="EE15" s="475">
        <f t="shared" si="1"/>
        <v>36</v>
      </c>
    </row>
    <row r="16" spans="1:147" s="294" customFormat="1" ht="18" customHeight="1" x14ac:dyDescent="0.2">
      <c r="A16" s="288">
        <v>1985</v>
      </c>
      <c r="B16" s="546" t="s">
        <v>4273</v>
      </c>
      <c r="C16" s="322">
        <v>1806</v>
      </c>
      <c r="D16" s="323">
        <v>54</v>
      </c>
      <c r="E16" s="320" t="s">
        <v>4147</v>
      </c>
      <c r="F16" s="324">
        <v>1715</v>
      </c>
      <c r="G16" s="325">
        <v>38</v>
      </c>
      <c r="H16" s="320" t="s">
        <v>1919</v>
      </c>
      <c r="I16" s="324">
        <v>1704</v>
      </c>
      <c r="J16" s="287">
        <v>38</v>
      </c>
      <c r="K16" s="321" t="s">
        <v>1990</v>
      </c>
      <c r="L16" s="322">
        <v>1658</v>
      </c>
      <c r="M16" s="323">
        <v>34</v>
      </c>
      <c r="N16" s="320" t="s">
        <v>3867</v>
      </c>
      <c r="O16" s="324">
        <v>1588</v>
      </c>
      <c r="P16" s="325">
        <v>39</v>
      </c>
      <c r="Q16" s="320" t="s">
        <v>4274</v>
      </c>
      <c r="R16" s="324">
        <v>1533</v>
      </c>
      <c r="S16" s="325">
        <v>35</v>
      </c>
      <c r="T16" s="321" t="s">
        <v>4272</v>
      </c>
      <c r="U16" s="322">
        <v>1527</v>
      </c>
      <c r="V16" s="323">
        <v>43</v>
      </c>
      <c r="W16" s="320" t="s">
        <v>1921</v>
      </c>
      <c r="X16" s="324">
        <v>1518</v>
      </c>
      <c r="Y16" s="325">
        <v>26</v>
      </c>
      <c r="Z16" s="320" t="s">
        <v>1923</v>
      </c>
      <c r="AA16" s="324">
        <v>1514</v>
      </c>
      <c r="AB16" s="325">
        <v>30</v>
      </c>
      <c r="AC16" s="321" t="s">
        <v>4097</v>
      </c>
      <c r="AD16" s="322">
        <v>1390</v>
      </c>
      <c r="AE16" s="323">
        <v>17</v>
      </c>
      <c r="AF16" s="320" t="s">
        <v>1668</v>
      </c>
      <c r="AG16" s="324">
        <v>1362</v>
      </c>
      <c r="AH16" s="325">
        <v>22</v>
      </c>
      <c r="AI16" s="320" t="s">
        <v>1989</v>
      </c>
      <c r="AJ16" s="324">
        <v>1336</v>
      </c>
      <c r="AK16" s="325">
        <v>28</v>
      </c>
      <c r="AL16" s="321" t="s">
        <v>1991</v>
      </c>
      <c r="AM16" s="322">
        <v>1274</v>
      </c>
      <c r="AN16" s="323">
        <v>32</v>
      </c>
      <c r="AO16" s="320"/>
      <c r="AP16" s="324"/>
      <c r="AQ16" s="325"/>
      <c r="AR16" s="320"/>
      <c r="AS16" s="324"/>
      <c r="AT16" s="325"/>
      <c r="AU16" s="320"/>
      <c r="AV16" s="324"/>
      <c r="AW16" s="325"/>
      <c r="AX16" s="320"/>
      <c r="AY16" s="324"/>
      <c r="AZ16" s="325"/>
      <c r="BA16" s="320"/>
      <c r="BB16" s="324"/>
      <c r="BC16" s="325"/>
      <c r="BD16" s="320"/>
      <c r="BE16" s="324"/>
      <c r="BF16" s="325"/>
      <c r="BG16" s="320"/>
      <c r="BH16" s="324"/>
      <c r="BI16" s="325"/>
      <c r="BJ16" s="320"/>
      <c r="BK16" s="324"/>
      <c r="BL16" s="325"/>
      <c r="BM16" s="320"/>
      <c r="BN16" s="324"/>
      <c r="BO16" s="325"/>
      <c r="BP16" s="320"/>
      <c r="BQ16" s="324"/>
      <c r="BR16" s="325"/>
      <c r="BS16" s="320"/>
      <c r="BT16" s="324"/>
      <c r="BU16" s="325"/>
      <c r="BV16" s="320"/>
      <c r="BW16" s="324"/>
      <c r="BX16" s="325"/>
      <c r="BY16" s="320"/>
      <c r="BZ16" s="324"/>
      <c r="CA16" s="325"/>
      <c r="CB16" s="320"/>
      <c r="CC16" s="324"/>
      <c r="CD16" s="325"/>
      <c r="CE16" s="320"/>
      <c r="CF16" s="324"/>
      <c r="CG16" s="325"/>
      <c r="CH16" s="320"/>
      <c r="CI16" s="324"/>
      <c r="CJ16" s="325"/>
      <c r="CK16" s="320"/>
      <c r="CL16" s="324"/>
      <c r="CM16" s="325"/>
      <c r="CN16" s="320"/>
      <c r="CO16" s="324"/>
      <c r="CP16" s="325"/>
      <c r="CQ16" s="320"/>
      <c r="CR16" s="324"/>
      <c r="CS16" s="325"/>
      <c r="CT16" s="320"/>
      <c r="CU16" s="324"/>
      <c r="CV16" s="325"/>
      <c r="CW16" s="320"/>
      <c r="CX16" s="324"/>
      <c r="CY16" s="325"/>
      <c r="CZ16" s="320"/>
      <c r="DA16" s="324"/>
      <c r="DB16" s="325"/>
      <c r="DC16" s="320"/>
      <c r="DD16" s="324"/>
      <c r="DE16" s="324"/>
      <c r="DF16" s="320"/>
      <c r="DG16" s="324"/>
      <c r="DH16" s="324"/>
      <c r="DI16" s="320"/>
      <c r="DJ16" s="324"/>
      <c r="DK16" s="324"/>
      <c r="DL16" s="320"/>
      <c r="DM16" s="324"/>
      <c r="DN16" s="325"/>
      <c r="DO16" s="320"/>
      <c r="DP16" s="324"/>
      <c r="DQ16" s="324"/>
      <c r="DR16" s="320"/>
      <c r="DS16" s="324"/>
      <c r="DT16" s="324"/>
      <c r="DU16" s="320"/>
      <c r="DV16" s="324"/>
      <c r="DW16" s="325"/>
      <c r="DX16" s="320"/>
      <c r="DY16" s="324"/>
      <c r="DZ16" s="324"/>
      <c r="EA16" s="475">
        <f>+C16+F16+I16+L16+O16+R16+U16+X16+AA16+AD16+AG16+AJ16+AM16+AP16+AS16+AV16+AY16+BB16+BE16+BH16+BK16+BN16+BQ16+BT16+BW16+BZ16+CC16+CF16+CI16+CL16+CO16+CR16+CU16+CX16+DA16+DD16+DG16+DJ16+DM16+DP16+DS16+DV16+DY16+'Chorus Champs'!C16+'Chorus Champs'!F16+'Chorus Champs'!I16</f>
        <v>25545</v>
      </c>
      <c r="EB16" s="475">
        <v>16</v>
      </c>
      <c r="EC16" s="475">
        <f t="shared" si="0"/>
        <v>1597</v>
      </c>
      <c r="ED16" s="475">
        <f>+D16+G16+J16+M16+P16+S16+V16+Y16+AB16+AE16+AH16+AK16+AN16+AQ16+AT16+AW16+AZ16+BC16+BF16+BI16+BL16+BO16+BR16+BU16+BX16+CA16+CD16+CG16+CJ16+CM16+CP16+CS16+CV16+CY16+DB16+DE16+DH16+DK16+DN16+DQ16+DT16+DW16+DZ16+'Chorus Champs'!D16+'Chorus Champs'!G16+'Chorus Champs'!J16</f>
        <v>618</v>
      </c>
      <c r="EE16" s="475">
        <f t="shared" si="1"/>
        <v>39</v>
      </c>
    </row>
    <row r="17" spans="1:135" s="294" customFormat="1" ht="18" customHeight="1" x14ac:dyDescent="0.2">
      <c r="A17" s="288">
        <v>1986</v>
      </c>
      <c r="B17" s="547" t="s">
        <v>4273</v>
      </c>
      <c r="C17" s="322">
        <v>1762</v>
      </c>
      <c r="D17" s="323">
        <v>57</v>
      </c>
      <c r="E17" s="320" t="s">
        <v>4147</v>
      </c>
      <c r="F17" s="324">
        <v>1729</v>
      </c>
      <c r="G17" s="325">
        <v>40</v>
      </c>
      <c r="H17" s="320" t="s">
        <v>1808</v>
      </c>
      <c r="I17" s="324">
        <v>1665</v>
      </c>
      <c r="J17" s="287">
        <v>35</v>
      </c>
      <c r="K17" s="326" t="s">
        <v>2004</v>
      </c>
      <c r="L17" s="322">
        <v>1643</v>
      </c>
      <c r="M17" s="323">
        <v>39</v>
      </c>
      <c r="N17" s="320" t="s">
        <v>1990</v>
      </c>
      <c r="O17" s="324">
        <v>1638</v>
      </c>
      <c r="P17" s="325">
        <v>40</v>
      </c>
      <c r="Q17" s="320" t="s">
        <v>1919</v>
      </c>
      <c r="R17" s="324">
        <v>1602</v>
      </c>
      <c r="S17" s="325">
        <v>34</v>
      </c>
      <c r="T17" s="326" t="s">
        <v>1921</v>
      </c>
      <c r="U17" s="322">
        <v>1528</v>
      </c>
      <c r="V17" s="323">
        <v>38</v>
      </c>
      <c r="W17" s="320" t="s">
        <v>1668</v>
      </c>
      <c r="X17" s="324">
        <v>1474</v>
      </c>
      <c r="Y17" s="325">
        <v>17</v>
      </c>
      <c r="Z17" s="320" t="s">
        <v>2002</v>
      </c>
      <c r="AA17" s="324">
        <v>1470</v>
      </c>
      <c r="AB17" s="325">
        <v>38</v>
      </c>
      <c r="AC17" s="326" t="s">
        <v>2003</v>
      </c>
      <c r="AD17" s="322">
        <v>1468</v>
      </c>
      <c r="AE17" s="323">
        <v>22</v>
      </c>
      <c r="AF17" s="320" t="s">
        <v>1669</v>
      </c>
      <c r="AG17" s="324">
        <v>1457</v>
      </c>
      <c r="AH17" s="325">
        <v>31</v>
      </c>
      <c r="AI17" s="320" t="s">
        <v>1819</v>
      </c>
      <c r="AJ17" s="324">
        <v>1437</v>
      </c>
      <c r="AK17" s="325">
        <v>32</v>
      </c>
      <c r="AL17" s="326" t="s">
        <v>2001</v>
      </c>
      <c r="AM17" s="322">
        <v>1432</v>
      </c>
      <c r="AN17" s="323">
        <v>37</v>
      </c>
      <c r="AO17" s="320" t="s">
        <v>4151</v>
      </c>
      <c r="AP17" s="324">
        <v>1402</v>
      </c>
      <c r="AQ17" s="325">
        <v>29</v>
      </c>
      <c r="AR17" s="320" t="s">
        <v>2008</v>
      </c>
      <c r="AS17" s="324">
        <v>1328</v>
      </c>
      <c r="AT17" s="325">
        <v>29</v>
      </c>
      <c r="AU17" s="320" t="s">
        <v>2009</v>
      </c>
      <c r="AV17" s="324">
        <v>1325</v>
      </c>
      <c r="AW17" s="325">
        <v>38</v>
      </c>
      <c r="AX17" s="320" t="s">
        <v>4150</v>
      </c>
      <c r="AY17" s="324">
        <v>1306</v>
      </c>
      <c r="AZ17" s="325">
        <v>27</v>
      </c>
      <c r="BA17" s="320" t="s">
        <v>4152</v>
      </c>
      <c r="BB17" s="324">
        <v>1301</v>
      </c>
      <c r="BC17" s="325">
        <v>26</v>
      </c>
      <c r="BD17" s="320" t="s">
        <v>2005</v>
      </c>
      <c r="BE17" s="324">
        <v>1284</v>
      </c>
      <c r="BF17" s="325">
        <v>22</v>
      </c>
      <c r="BG17" s="320" t="s">
        <v>2007</v>
      </c>
      <c r="BH17" s="324">
        <v>1280</v>
      </c>
      <c r="BI17" s="325">
        <v>29</v>
      </c>
      <c r="BJ17" s="320" t="s">
        <v>2006</v>
      </c>
      <c r="BK17" s="324">
        <v>1170</v>
      </c>
      <c r="BL17" s="325">
        <v>25</v>
      </c>
      <c r="BM17" s="320" t="s">
        <v>1820</v>
      </c>
      <c r="BN17" s="324">
        <v>1147</v>
      </c>
      <c r="BO17" s="325">
        <v>15</v>
      </c>
      <c r="BP17" s="320"/>
      <c r="BQ17" s="324"/>
      <c r="BR17" s="325"/>
      <c r="BS17" s="320"/>
      <c r="BT17" s="324"/>
      <c r="BU17" s="325"/>
      <c r="BV17" s="320"/>
      <c r="BW17" s="324"/>
      <c r="BX17" s="325"/>
      <c r="BY17" s="320"/>
      <c r="BZ17" s="324"/>
      <c r="CA17" s="325"/>
      <c r="CB17" s="320"/>
      <c r="CC17" s="324"/>
      <c r="CD17" s="325"/>
      <c r="CE17" s="320"/>
      <c r="CF17" s="324"/>
      <c r="CG17" s="325"/>
      <c r="CH17" s="320"/>
      <c r="CI17" s="324"/>
      <c r="CJ17" s="325"/>
      <c r="CK17" s="320"/>
      <c r="CL17" s="324"/>
      <c r="CM17" s="325"/>
      <c r="CN17" s="320"/>
      <c r="CO17" s="324"/>
      <c r="CP17" s="325"/>
      <c r="CQ17" s="320"/>
      <c r="CR17" s="324"/>
      <c r="CS17" s="325"/>
      <c r="CT17" s="320"/>
      <c r="CU17" s="324"/>
      <c r="CV17" s="325"/>
      <c r="CW17" s="320"/>
      <c r="CX17" s="324"/>
      <c r="CY17" s="325"/>
      <c r="CZ17" s="320"/>
      <c r="DA17" s="324"/>
      <c r="DB17" s="325"/>
      <c r="DC17" s="320"/>
      <c r="DD17" s="324"/>
      <c r="DE17" s="324"/>
      <c r="DF17" s="320"/>
      <c r="DG17" s="324"/>
      <c r="DH17" s="324"/>
      <c r="DI17" s="320"/>
      <c r="DJ17" s="324"/>
      <c r="DK17" s="324"/>
      <c r="DL17" s="320"/>
      <c r="DM17" s="324"/>
      <c r="DN17" s="325"/>
      <c r="DO17" s="320"/>
      <c r="DP17" s="324"/>
      <c r="DQ17" s="324"/>
      <c r="DR17" s="320"/>
      <c r="DS17" s="324"/>
      <c r="DT17" s="324"/>
      <c r="DU17" s="320"/>
      <c r="DV17" s="324"/>
      <c r="DW17" s="325"/>
      <c r="DX17" s="320"/>
      <c r="DY17" s="324"/>
      <c r="DZ17" s="324"/>
      <c r="EA17" s="475">
        <f>+C17+F17+I17+L17+O17+R17+U17+X17+AA17+AD17+AG17+AJ17+AM17+AP17+AS17+AV17+AY17+BB17+BE17+BH17+BK17+BN17+BQ17+BT17+BW17+BZ17+CC17+CF17+CI17+CL17+CO17+CR17+CU17+CX17+DA17+DD17+DG17+DJ17+DM17+DP17+DS17+DV17+DY17+'Chorus Champs'!C17+'Chorus Champs'!F17+'Chorus Champs'!I17</f>
        <v>37486</v>
      </c>
      <c r="EB17" s="475">
        <v>25</v>
      </c>
      <c r="EC17" s="475">
        <f t="shared" si="0"/>
        <v>1499</v>
      </c>
      <c r="ED17" s="475">
        <f>+D17+G17+J17+M17+P17+S17+V17+Y17+AB17+AE17+AH17+AK17+AN17+AQ17+AT17+AW17+AZ17+BC17+BF17+BI17+BL17+BO17+BR17+BU17+BX17+CA17+CD17+CG17+CJ17+CM17+CP17+CS17+CV17+CY17+DB17+DE17+DH17+DK17+DN17+DQ17+DT17+DW17+DZ17+'Chorus Champs'!D17+'Chorus Champs'!G17+'Chorus Champs'!J17</f>
        <v>876</v>
      </c>
      <c r="EE17" s="475">
        <f t="shared" si="1"/>
        <v>35</v>
      </c>
    </row>
    <row r="18" spans="1:135" s="294" customFormat="1" ht="18" customHeight="1" x14ac:dyDescent="0.2">
      <c r="A18" s="288">
        <v>1987</v>
      </c>
      <c r="B18" s="546" t="s">
        <v>4273</v>
      </c>
      <c r="C18" s="322">
        <v>1165</v>
      </c>
      <c r="D18" s="323">
        <v>52</v>
      </c>
      <c r="E18" s="320" t="s">
        <v>1921</v>
      </c>
      <c r="F18" s="324">
        <v>1123</v>
      </c>
      <c r="G18" s="325">
        <v>38</v>
      </c>
      <c r="H18" s="320" t="s">
        <v>1808</v>
      </c>
      <c r="I18" s="324">
        <v>1104</v>
      </c>
      <c r="J18" s="287">
        <v>47</v>
      </c>
      <c r="K18" s="321" t="s">
        <v>2004</v>
      </c>
      <c r="L18" s="322">
        <v>1082</v>
      </c>
      <c r="M18" s="323">
        <v>57</v>
      </c>
      <c r="N18" s="320" t="s">
        <v>1960</v>
      </c>
      <c r="O18" s="324">
        <v>1071</v>
      </c>
      <c r="P18" s="325">
        <v>44</v>
      </c>
      <c r="Q18" s="320" t="s">
        <v>1934</v>
      </c>
      <c r="R18" s="324">
        <v>1067</v>
      </c>
      <c r="S18" s="325">
        <v>42</v>
      </c>
      <c r="T18" s="321" t="s">
        <v>2554</v>
      </c>
      <c r="U18" s="322">
        <v>999</v>
      </c>
      <c r="V18" s="323">
        <v>24</v>
      </c>
      <c r="W18" s="320" t="s">
        <v>1817</v>
      </c>
      <c r="X18" s="324">
        <v>976</v>
      </c>
      <c r="Y18" s="325">
        <v>39</v>
      </c>
      <c r="Z18" s="320" t="s">
        <v>1825</v>
      </c>
      <c r="AA18" s="324">
        <v>969</v>
      </c>
      <c r="AB18" s="325">
        <v>29</v>
      </c>
      <c r="AC18" s="326" t="s">
        <v>2003</v>
      </c>
      <c r="AD18" s="322">
        <v>961</v>
      </c>
      <c r="AE18" s="323">
        <v>26</v>
      </c>
      <c r="AF18" s="320" t="s">
        <v>4147</v>
      </c>
      <c r="AG18" s="324">
        <v>950</v>
      </c>
      <c r="AH18" s="325">
        <v>28</v>
      </c>
      <c r="AI18" s="320" t="s">
        <v>1669</v>
      </c>
      <c r="AJ18" s="324">
        <v>949</v>
      </c>
      <c r="AK18" s="325">
        <v>31</v>
      </c>
      <c r="AL18" s="326" t="s">
        <v>2001</v>
      </c>
      <c r="AM18" s="322">
        <v>933</v>
      </c>
      <c r="AN18" s="323">
        <v>40</v>
      </c>
      <c r="AO18" s="320" t="s">
        <v>1826</v>
      </c>
      <c r="AP18" s="324">
        <v>922</v>
      </c>
      <c r="AQ18" s="325">
        <v>24</v>
      </c>
      <c r="AR18" s="320" t="s">
        <v>2375</v>
      </c>
      <c r="AS18" s="324">
        <v>903</v>
      </c>
      <c r="AT18" s="325">
        <v>24</v>
      </c>
      <c r="AU18" s="320" t="s">
        <v>2376</v>
      </c>
      <c r="AV18" s="324">
        <v>885</v>
      </c>
      <c r="AW18" s="325">
        <v>27</v>
      </c>
      <c r="AX18" s="320" t="s">
        <v>2002</v>
      </c>
      <c r="AY18" s="324">
        <v>857</v>
      </c>
      <c r="AZ18" s="325">
        <v>39</v>
      </c>
      <c r="BA18" s="320" t="s">
        <v>2377</v>
      </c>
      <c r="BB18" s="324">
        <v>849</v>
      </c>
      <c r="BC18" s="325">
        <v>34</v>
      </c>
      <c r="BD18" s="320" t="s">
        <v>1801</v>
      </c>
      <c r="BE18" s="324">
        <v>817</v>
      </c>
      <c r="BF18" s="325">
        <v>16</v>
      </c>
      <c r="BG18" s="320" t="s">
        <v>2378</v>
      </c>
      <c r="BH18" s="324">
        <v>786</v>
      </c>
      <c r="BI18" s="325">
        <v>17</v>
      </c>
      <c r="BJ18" s="320" t="s">
        <v>4152</v>
      </c>
      <c r="BK18" s="324">
        <v>782</v>
      </c>
      <c r="BL18" s="325">
        <v>27</v>
      </c>
      <c r="BM18" s="320" t="s">
        <v>1820</v>
      </c>
      <c r="BN18" s="324">
        <v>748</v>
      </c>
      <c r="BO18" s="325">
        <v>20</v>
      </c>
      <c r="BP18" s="320"/>
      <c r="BQ18" s="324"/>
      <c r="BR18" s="325"/>
      <c r="BS18" s="320"/>
      <c r="BT18" s="324"/>
      <c r="BU18" s="325"/>
      <c r="BV18" s="320"/>
      <c r="BW18" s="324"/>
      <c r="BX18" s="325"/>
      <c r="BY18" s="320"/>
      <c r="BZ18" s="324"/>
      <c r="CA18" s="325"/>
      <c r="CB18" s="320"/>
      <c r="CC18" s="324"/>
      <c r="CD18" s="325"/>
      <c r="CE18" s="320"/>
      <c r="CF18" s="324"/>
      <c r="CG18" s="325"/>
      <c r="CH18" s="320"/>
      <c r="CI18" s="324"/>
      <c r="CJ18" s="325"/>
      <c r="CK18" s="320"/>
      <c r="CL18" s="324"/>
      <c r="CM18" s="325"/>
      <c r="CN18" s="320"/>
      <c r="CO18" s="324"/>
      <c r="CP18" s="325"/>
      <c r="CQ18" s="320"/>
      <c r="CR18" s="324"/>
      <c r="CS18" s="325"/>
      <c r="CT18" s="320"/>
      <c r="CU18" s="324"/>
      <c r="CV18" s="325"/>
      <c r="CW18" s="320"/>
      <c r="CX18" s="324"/>
      <c r="CY18" s="325"/>
      <c r="CZ18" s="320"/>
      <c r="DA18" s="324"/>
      <c r="DB18" s="325"/>
      <c r="DC18" s="320"/>
      <c r="DD18" s="324"/>
      <c r="DE18" s="324"/>
      <c r="DF18" s="320"/>
      <c r="DG18" s="324"/>
      <c r="DH18" s="324"/>
      <c r="DI18" s="320"/>
      <c r="DJ18" s="324"/>
      <c r="DK18" s="324"/>
      <c r="DL18" s="320"/>
      <c r="DM18" s="324"/>
      <c r="DN18" s="325"/>
      <c r="DO18" s="320"/>
      <c r="DP18" s="324"/>
      <c r="DQ18" s="324"/>
      <c r="DR18" s="320"/>
      <c r="DS18" s="324"/>
      <c r="DT18" s="324"/>
      <c r="DU18" s="320"/>
      <c r="DV18" s="324"/>
      <c r="DW18" s="325"/>
      <c r="DX18" s="320"/>
      <c r="DY18" s="324"/>
      <c r="DZ18" s="324"/>
      <c r="EA18" s="475">
        <f>+C18+F18+I18+L18+O18+R18+U18+X18+AA18+AD18+AG18+AJ18+AM18+AP18+AS18+AV18+AY18+BB18+BE18+BH18+BK18+BN18+BQ18+BT18+BW18+BZ18+CC18+CF18+CI18+CL18+CO18+CR18+CU18+CX18+DA18+DD18+DG18+DJ18+DM18+DP18+DS18+DV18+DY18+'Chorus Champs'!C18+'Chorus Champs'!F18+'Chorus Champs'!I18</f>
        <v>24740</v>
      </c>
      <c r="EB18" s="475">
        <v>25</v>
      </c>
      <c r="EC18" s="475">
        <f t="shared" si="0"/>
        <v>990</v>
      </c>
      <c r="ED18" s="475">
        <f>+D18+G18+J18+M18+P18+S18+V18+Y18+AB18+AE18+AH18+AK18+AN18+AQ18+AT18+AW18+AZ18+BC18+BF18+BI18+BL18+BO18+BR18+BU18+BX18+CA18+CD18+CG18+CJ18+CM18+CP18+CS18+CV18+CY18+DB18+DE18+DH18+DK18+DN18+DQ18+DT18+DW18+DZ18+'Chorus Champs'!D18+'Chorus Champs'!G18+'Chorus Champs'!J18</f>
        <v>925</v>
      </c>
      <c r="EE18" s="475">
        <f t="shared" si="1"/>
        <v>37</v>
      </c>
    </row>
    <row r="19" spans="1:135" s="294" customFormat="1" ht="18" customHeight="1" x14ac:dyDescent="0.2">
      <c r="A19" s="288">
        <v>1988</v>
      </c>
      <c r="B19" s="546" t="s">
        <v>4147</v>
      </c>
      <c r="C19" s="322">
        <v>1166</v>
      </c>
      <c r="D19" s="323">
        <v>40</v>
      </c>
      <c r="E19" s="320" t="s">
        <v>2004</v>
      </c>
      <c r="F19" s="324">
        <v>1155</v>
      </c>
      <c r="G19" s="325">
        <v>50</v>
      </c>
      <c r="H19" s="320" t="s">
        <v>1807</v>
      </c>
      <c r="I19" s="324">
        <v>1120</v>
      </c>
      <c r="J19" s="287">
        <v>40</v>
      </c>
      <c r="K19" s="321" t="s">
        <v>1808</v>
      </c>
      <c r="L19" s="322">
        <v>1075</v>
      </c>
      <c r="M19" s="323">
        <v>46</v>
      </c>
      <c r="N19" s="320" t="s">
        <v>1934</v>
      </c>
      <c r="O19" s="324">
        <v>1037</v>
      </c>
      <c r="P19" s="325">
        <v>39</v>
      </c>
      <c r="Q19" s="320" t="s">
        <v>1814</v>
      </c>
      <c r="R19" s="324">
        <v>1009</v>
      </c>
      <c r="S19" s="325">
        <v>43</v>
      </c>
      <c r="T19" s="321" t="s">
        <v>2003</v>
      </c>
      <c r="U19" s="322">
        <v>973</v>
      </c>
      <c r="V19" s="323">
        <v>30</v>
      </c>
      <c r="W19" s="320" t="s">
        <v>2001</v>
      </c>
      <c r="X19" s="324">
        <v>967</v>
      </c>
      <c r="Y19" s="325">
        <v>42</v>
      </c>
      <c r="Z19" s="320" t="s">
        <v>1815</v>
      </c>
      <c r="AA19" s="324">
        <v>946</v>
      </c>
      <c r="AB19" s="325">
        <v>37</v>
      </c>
      <c r="AC19" s="321" t="s">
        <v>1960</v>
      </c>
      <c r="AD19" s="322">
        <v>945</v>
      </c>
      <c r="AE19" s="323">
        <v>38</v>
      </c>
      <c r="AF19" s="320" t="s">
        <v>2554</v>
      </c>
      <c r="AG19" s="324">
        <v>937</v>
      </c>
      <c r="AH19" s="325">
        <v>28</v>
      </c>
      <c r="AI19" s="320" t="s">
        <v>3004</v>
      </c>
      <c r="AJ19" s="324">
        <v>920</v>
      </c>
      <c r="AK19" s="325">
        <v>32</v>
      </c>
      <c r="AL19" s="321" t="s">
        <v>1800</v>
      </c>
      <c r="AM19" s="322">
        <v>917</v>
      </c>
      <c r="AN19" s="323">
        <v>24</v>
      </c>
      <c r="AO19" s="320" t="s">
        <v>1816</v>
      </c>
      <c r="AP19" s="324">
        <v>855</v>
      </c>
      <c r="AQ19" s="325">
        <v>28</v>
      </c>
      <c r="AR19" s="320" t="s">
        <v>2008</v>
      </c>
      <c r="AS19" s="324">
        <v>845</v>
      </c>
      <c r="AT19" s="325">
        <v>29</v>
      </c>
      <c r="AU19" s="320" t="s">
        <v>1817</v>
      </c>
      <c r="AV19" s="324">
        <v>839</v>
      </c>
      <c r="AW19" s="325">
        <v>48</v>
      </c>
      <c r="AX19" s="320" t="s">
        <v>1818</v>
      </c>
      <c r="AY19" s="324">
        <v>798</v>
      </c>
      <c r="AZ19" s="325">
        <v>28</v>
      </c>
      <c r="BA19" s="320" t="s">
        <v>4152</v>
      </c>
      <c r="BB19" s="324">
        <v>747</v>
      </c>
      <c r="BC19" s="325">
        <v>27</v>
      </c>
      <c r="BD19" s="320"/>
      <c r="BE19" s="324"/>
      <c r="BF19" s="325"/>
      <c r="BG19" s="320"/>
      <c r="BH19" s="324"/>
      <c r="BI19" s="325"/>
      <c r="BJ19" s="320"/>
      <c r="BK19" s="324"/>
      <c r="BL19" s="325"/>
      <c r="BM19" s="320"/>
      <c r="BN19" s="324"/>
      <c r="BO19" s="325"/>
      <c r="BP19" s="320"/>
      <c r="BQ19" s="324"/>
      <c r="BR19" s="325"/>
      <c r="BS19" s="320"/>
      <c r="BT19" s="324"/>
      <c r="BU19" s="325"/>
      <c r="BV19" s="320"/>
      <c r="BW19" s="324"/>
      <c r="BX19" s="325"/>
      <c r="BY19" s="320"/>
      <c r="BZ19" s="324"/>
      <c r="CA19" s="325"/>
      <c r="CB19" s="320"/>
      <c r="CC19" s="324"/>
      <c r="CD19" s="325"/>
      <c r="CE19" s="320"/>
      <c r="CF19" s="324"/>
      <c r="CG19" s="325"/>
      <c r="CH19" s="320"/>
      <c r="CI19" s="324"/>
      <c r="CJ19" s="325"/>
      <c r="CK19" s="320"/>
      <c r="CL19" s="324"/>
      <c r="CM19" s="325"/>
      <c r="CN19" s="320"/>
      <c r="CO19" s="324"/>
      <c r="CP19" s="325"/>
      <c r="CQ19" s="320"/>
      <c r="CR19" s="324"/>
      <c r="CS19" s="325"/>
      <c r="CT19" s="320"/>
      <c r="CU19" s="324"/>
      <c r="CV19" s="325"/>
      <c r="CW19" s="320"/>
      <c r="CX19" s="324"/>
      <c r="CY19" s="325"/>
      <c r="CZ19" s="320"/>
      <c r="DA19" s="324"/>
      <c r="DB19" s="325"/>
      <c r="DC19" s="320"/>
      <c r="DD19" s="324"/>
      <c r="DE19" s="324"/>
      <c r="DF19" s="320"/>
      <c r="DG19" s="324"/>
      <c r="DH19" s="324"/>
      <c r="DI19" s="320"/>
      <c r="DJ19" s="324"/>
      <c r="DK19" s="324"/>
      <c r="DL19" s="320"/>
      <c r="DM19" s="324"/>
      <c r="DN19" s="325"/>
      <c r="DO19" s="320"/>
      <c r="DP19" s="324"/>
      <c r="DQ19" s="324"/>
      <c r="DR19" s="320"/>
      <c r="DS19" s="324"/>
      <c r="DT19" s="324"/>
      <c r="DU19" s="320"/>
      <c r="DV19" s="324"/>
      <c r="DW19" s="325"/>
      <c r="DX19" s="320"/>
      <c r="DY19" s="324"/>
      <c r="DZ19" s="324"/>
      <c r="EA19" s="475">
        <f>+C19+F19+I19+L19+O19+R19+U19+X19+AA19+AD19+AG19+AJ19+AM19+AP19+AS19+AV19+AY19+BB19+BE19+BH19+BK19+BN19+BQ19+BT19+BW19+BZ19+CC19+CF19+CI19+CL19+CO19+CR19+CU19+CX19+DA19+DD19+DG19+DJ19+DM19+DP19+DS19+DV19+DY19+'Chorus Champs'!C19+'Chorus Champs'!F19+'Chorus Champs'!I19</f>
        <v>21045</v>
      </c>
      <c r="EB19" s="475">
        <v>21</v>
      </c>
      <c r="EC19" s="475">
        <f t="shared" si="0"/>
        <v>1002</v>
      </c>
      <c r="ED19" s="475">
        <f>+D19+G19+J19+M19+P19+S19+V19+Y19+AB19+AE19+AH19+AK19+AN19+AQ19+AT19+AW19+AZ19+BC19+BF19+BI19+BL19+BO19+BR19+BU19+BX19+CA19+CD19+CG19+CJ19+CM19+CP19+CS19+CV19+CY19+DB19+DE19+DH19+DK19+DN19+DQ19+DT19+DW19+DZ19+'Chorus Champs'!D19+'Chorus Champs'!G19+'Chorus Champs'!J19</f>
        <v>835</v>
      </c>
      <c r="EE19" s="475">
        <f t="shared" si="1"/>
        <v>40</v>
      </c>
    </row>
    <row r="20" spans="1:135" s="294" customFormat="1" ht="18" customHeight="1" x14ac:dyDescent="0.2">
      <c r="A20" s="288">
        <v>1989</v>
      </c>
      <c r="B20" s="546" t="s">
        <v>1921</v>
      </c>
      <c r="C20" s="322">
        <v>1144</v>
      </c>
      <c r="D20" s="323">
        <v>44</v>
      </c>
      <c r="E20" s="320" t="s">
        <v>2004</v>
      </c>
      <c r="F20" s="324">
        <v>1121</v>
      </c>
      <c r="G20" s="325">
        <v>55</v>
      </c>
      <c r="H20" s="320" t="s">
        <v>1934</v>
      </c>
      <c r="I20" s="324">
        <f>552+266+16+247</f>
        <v>1081</v>
      </c>
      <c r="J20" s="287">
        <v>38</v>
      </c>
      <c r="K20" s="321" t="s">
        <v>1807</v>
      </c>
      <c r="L20" s="322">
        <f>577+277+14+191</f>
        <v>1059</v>
      </c>
      <c r="M20" s="323">
        <v>44</v>
      </c>
      <c r="N20" s="320" t="s">
        <v>543</v>
      </c>
      <c r="O20" s="324">
        <v>1055</v>
      </c>
      <c r="P20" s="325">
        <v>36</v>
      </c>
      <c r="Q20" s="320" t="s">
        <v>2003</v>
      </c>
      <c r="R20" s="324">
        <v>1033</v>
      </c>
      <c r="S20" s="325">
        <v>31</v>
      </c>
      <c r="T20" s="321" t="s">
        <v>1808</v>
      </c>
      <c r="U20" s="322">
        <f>525+262+16+225</f>
        <v>1028</v>
      </c>
      <c r="V20" s="323">
        <v>40</v>
      </c>
      <c r="W20" s="320" t="s">
        <v>1800</v>
      </c>
      <c r="X20" s="324">
        <v>990</v>
      </c>
      <c r="Y20" s="325">
        <v>22</v>
      </c>
      <c r="Z20" s="320" t="s">
        <v>1801</v>
      </c>
      <c r="AA20" s="324">
        <v>990</v>
      </c>
      <c r="AB20" s="325">
        <v>21</v>
      </c>
      <c r="AC20" s="321" t="s">
        <v>1798</v>
      </c>
      <c r="AD20" s="322">
        <v>981</v>
      </c>
      <c r="AE20" s="323">
        <v>36</v>
      </c>
      <c r="AF20" s="320" t="s">
        <v>2001</v>
      </c>
      <c r="AG20" s="324">
        <v>969</v>
      </c>
      <c r="AH20" s="325">
        <v>50</v>
      </c>
      <c r="AI20" s="320" t="s">
        <v>1809</v>
      </c>
      <c r="AJ20" s="324">
        <v>967</v>
      </c>
      <c r="AK20" s="325">
        <v>30</v>
      </c>
      <c r="AL20" s="321" t="s">
        <v>1810</v>
      </c>
      <c r="AM20" s="322">
        <v>946</v>
      </c>
      <c r="AN20" s="323">
        <v>27</v>
      </c>
      <c r="AO20" s="320" t="s">
        <v>1804</v>
      </c>
      <c r="AP20" s="324">
        <v>928</v>
      </c>
      <c r="AQ20" s="325">
        <v>28</v>
      </c>
      <c r="AR20" s="320" t="s">
        <v>1811</v>
      </c>
      <c r="AS20" s="324">
        <v>874</v>
      </c>
      <c r="AT20" s="325">
        <v>31</v>
      </c>
      <c r="AU20" s="320" t="s">
        <v>1812</v>
      </c>
      <c r="AV20" s="324">
        <v>865</v>
      </c>
      <c r="AW20" s="325">
        <v>33</v>
      </c>
      <c r="AX20" s="320" t="s">
        <v>1803</v>
      </c>
      <c r="AY20" s="324">
        <v>858</v>
      </c>
      <c r="AZ20" s="325">
        <v>34</v>
      </c>
      <c r="BA20" s="320" t="s">
        <v>1813</v>
      </c>
      <c r="BB20" s="324">
        <v>845</v>
      </c>
      <c r="BC20" s="325">
        <v>40</v>
      </c>
      <c r="BD20" s="320"/>
      <c r="BE20" s="324"/>
      <c r="BF20" s="325"/>
      <c r="BG20" s="320"/>
      <c r="BH20" s="324"/>
      <c r="BI20" s="325"/>
      <c r="BJ20" s="320"/>
      <c r="BK20" s="324"/>
      <c r="BL20" s="325"/>
      <c r="BM20" s="320"/>
      <c r="BN20" s="324"/>
      <c r="BO20" s="325"/>
      <c r="BP20" s="320"/>
      <c r="BQ20" s="324"/>
      <c r="BR20" s="325"/>
      <c r="BS20" s="320"/>
      <c r="BT20" s="324"/>
      <c r="BU20" s="325"/>
      <c r="BV20" s="320"/>
      <c r="BW20" s="324"/>
      <c r="BX20" s="325"/>
      <c r="BY20" s="320"/>
      <c r="BZ20" s="324"/>
      <c r="CA20" s="325"/>
      <c r="CB20" s="320"/>
      <c r="CC20" s="324"/>
      <c r="CD20" s="325"/>
      <c r="CE20" s="320"/>
      <c r="CF20" s="324"/>
      <c r="CG20" s="325"/>
      <c r="CH20" s="320"/>
      <c r="CI20" s="324"/>
      <c r="CJ20" s="325"/>
      <c r="CK20" s="320"/>
      <c r="CL20" s="324"/>
      <c r="CM20" s="325"/>
      <c r="CN20" s="320"/>
      <c r="CO20" s="324"/>
      <c r="CP20" s="325"/>
      <c r="CQ20" s="320"/>
      <c r="CR20" s="324"/>
      <c r="CS20" s="325"/>
      <c r="CT20" s="320"/>
      <c r="CU20" s="324"/>
      <c r="CV20" s="325"/>
      <c r="CW20" s="320"/>
      <c r="CX20" s="324"/>
      <c r="CY20" s="325"/>
      <c r="CZ20" s="320"/>
      <c r="DA20" s="324"/>
      <c r="DB20" s="325"/>
      <c r="DC20" s="320"/>
      <c r="DD20" s="324"/>
      <c r="DE20" s="324"/>
      <c r="DF20" s="320"/>
      <c r="DG20" s="324"/>
      <c r="DH20" s="324"/>
      <c r="DI20" s="320"/>
      <c r="DJ20" s="324"/>
      <c r="DK20" s="324"/>
      <c r="DL20" s="320"/>
      <c r="DM20" s="324"/>
      <c r="DN20" s="325"/>
      <c r="DO20" s="320"/>
      <c r="DP20" s="324"/>
      <c r="DQ20" s="324"/>
      <c r="DR20" s="320"/>
      <c r="DS20" s="324"/>
      <c r="DT20" s="324"/>
      <c r="DU20" s="320"/>
      <c r="DV20" s="324"/>
      <c r="DW20" s="325"/>
      <c r="DX20" s="320"/>
      <c r="DY20" s="324"/>
      <c r="DZ20" s="324"/>
      <c r="EA20" s="475">
        <f>+C20+F20+I20+L20+O20+R20+U20+X20+AA20+AD20+AG20+AJ20+AM20+AP20+AS20+AV20+AY20+BB20+BE20+BH20+BK20+BN20+BQ20+BT20+BW20+BZ20+CC20+CF20+CI20+CL20+CO20+CR20+CU20+CX20+DA20+DD20+DG20+DJ20+DM20+DP20+DS20+DV20+DY20+'Chorus Champs'!C20+'Chorus Champs'!F20+'Chorus Champs'!I20</f>
        <v>21596</v>
      </c>
      <c r="EB20" s="475">
        <v>21</v>
      </c>
      <c r="EC20" s="475">
        <f t="shared" si="0"/>
        <v>1028</v>
      </c>
      <c r="ED20" s="475">
        <f>+D20+G20+J20+M20+P20+S20+V20+Y20+AB20+AE20+AH20+AK20+AN20+AQ20+AT20+AW20+AZ20+BC20+BF20+BI20+BL20+BO20+BR20+BU20+BX20+CA20+CD20+CG20+CJ20+CM20+CP20+CS20+CV20+CY20+DB20+DE20+DH20+DK20+DN20+DQ20+DT20+DW20+DZ20+'Chorus Champs'!D20+'Chorus Champs'!G20+'Chorus Champs'!J20</f>
        <v>841</v>
      </c>
      <c r="EE20" s="475">
        <f t="shared" si="1"/>
        <v>40</v>
      </c>
    </row>
    <row r="21" spans="1:135" s="294" customFormat="1" ht="18" customHeight="1" x14ac:dyDescent="0.2">
      <c r="A21" s="288">
        <v>1990</v>
      </c>
      <c r="B21" s="546" t="s">
        <v>2004</v>
      </c>
      <c r="C21" s="322">
        <f>543+318+12+345</f>
        <v>1218</v>
      </c>
      <c r="D21" s="323">
        <v>51</v>
      </c>
      <c r="E21" s="320" t="s">
        <v>543</v>
      </c>
      <c r="F21" s="324">
        <v>1182</v>
      </c>
      <c r="G21" s="325">
        <v>46</v>
      </c>
      <c r="H21" s="320" t="s">
        <v>1934</v>
      </c>
      <c r="I21" s="324">
        <v>1169</v>
      </c>
      <c r="J21" s="287">
        <v>48</v>
      </c>
      <c r="K21" s="321" t="s">
        <v>1796</v>
      </c>
      <c r="L21" s="322">
        <v>1141</v>
      </c>
      <c r="M21" s="323">
        <v>46</v>
      </c>
      <c r="N21" s="320" t="s">
        <v>1797</v>
      </c>
      <c r="O21" s="324">
        <v>1086</v>
      </c>
      <c r="P21" s="325">
        <v>52</v>
      </c>
      <c r="Q21" s="320" t="s">
        <v>2001</v>
      </c>
      <c r="R21" s="324">
        <v>1055</v>
      </c>
      <c r="S21" s="325">
        <v>41</v>
      </c>
      <c r="T21" s="321" t="s">
        <v>1798</v>
      </c>
      <c r="U21" s="322">
        <v>1028</v>
      </c>
      <c r="V21" s="323">
        <v>40</v>
      </c>
      <c r="W21" s="320" t="s">
        <v>1799</v>
      </c>
      <c r="X21" s="324">
        <v>1002</v>
      </c>
      <c r="Y21" s="325">
        <v>28</v>
      </c>
      <c r="Z21" s="320" t="s">
        <v>1800</v>
      </c>
      <c r="AA21" s="324">
        <v>990</v>
      </c>
      <c r="AB21" s="325">
        <v>29</v>
      </c>
      <c r="AC21" s="321" t="s">
        <v>2003</v>
      </c>
      <c r="AD21" s="322">
        <v>989</v>
      </c>
      <c r="AE21" s="323">
        <v>29</v>
      </c>
      <c r="AF21" s="320" t="s">
        <v>1801</v>
      </c>
      <c r="AG21" s="324">
        <v>980</v>
      </c>
      <c r="AH21" s="325">
        <v>16</v>
      </c>
      <c r="AI21" s="320" t="s">
        <v>1802</v>
      </c>
      <c r="AJ21" s="324">
        <v>972</v>
      </c>
      <c r="AK21" s="325">
        <v>27</v>
      </c>
      <c r="AL21" s="321" t="s">
        <v>1803</v>
      </c>
      <c r="AM21" s="322">
        <v>930</v>
      </c>
      <c r="AN21" s="323">
        <v>42</v>
      </c>
      <c r="AO21" s="320" t="s">
        <v>2002</v>
      </c>
      <c r="AP21" s="324">
        <v>894</v>
      </c>
      <c r="AQ21" s="325">
        <v>37</v>
      </c>
      <c r="AR21" s="320" t="s">
        <v>4199</v>
      </c>
      <c r="AS21" s="324">
        <v>859</v>
      </c>
      <c r="AT21" s="325">
        <v>18</v>
      </c>
      <c r="AU21" s="320" t="s">
        <v>1804</v>
      </c>
      <c r="AV21" s="324">
        <v>823</v>
      </c>
      <c r="AW21" s="325">
        <v>27</v>
      </c>
      <c r="AX21" s="320" t="s">
        <v>1805</v>
      </c>
      <c r="AY21" s="324">
        <v>767</v>
      </c>
      <c r="AZ21" s="325">
        <v>15</v>
      </c>
      <c r="BA21" s="320" t="s">
        <v>1806</v>
      </c>
      <c r="BB21" s="324">
        <v>766</v>
      </c>
      <c r="BC21" s="325">
        <v>40</v>
      </c>
      <c r="BD21" s="320"/>
      <c r="BE21" s="324"/>
      <c r="BF21" s="325"/>
      <c r="BG21" s="320"/>
      <c r="BH21" s="324"/>
      <c r="BI21" s="325"/>
      <c r="BJ21" s="320"/>
      <c r="BK21" s="324"/>
      <c r="BL21" s="325"/>
      <c r="BM21" s="320"/>
      <c r="BN21" s="324"/>
      <c r="BO21" s="325"/>
      <c r="BP21" s="320"/>
      <c r="BQ21" s="324"/>
      <c r="BR21" s="325"/>
      <c r="BS21" s="320"/>
      <c r="BT21" s="324"/>
      <c r="BU21" s="325"/>
      <c r="BV21" s="320"/>
      <c r="BW21" s="324"/>
      <c r="BX21" s="325"/>
      <c r="BY21" s="320"/>
      <c r="BZ21" s="324"/>
      <c r="CA21" s="325"/>
      <c r="CB21" s="320"/>
      <c r="CC21" s="324"/>
      <c r="CD21" s="325"/>
      <c r="CE21" s="320"/>
      <c r="CF21" s="324"/>
      <c r="CG21" s="325"/>
      <c r="CH21" s="320"/>
      <c r="CI21" s="324"/>
      <c r="CJ21" s="325"/>
      <c r="CK21" s="320"/>
      <c r="CL21" s="324"/>
      <c r="CM21" s="325"/>
      <c r="CN21" s="320"/>
      <c r="CO21" s="324"/>
      <c r="CP21" s="325"/>
      <c r="CQ21" s="320"/>
      <c r="CR21" s="324"/>
      <c r="CS21" s="325"/>
      <c r="CT21" s="320"/>
      <c r="CU21" s="324"/>
      <c r="CV21" s="325"/>
      <c r="CW21" s="320"/>
      <c r="CX21" s="324"/>
      <c r="CY21" s="325"/>
      <c r="CZ21" s="320"/>
      <c r="DA21" s="324"/>
      <c r="DB21" s="325"/>
      <c r="DC21" s="320"/>
      <c r="DD21" s="324"/>
      <c r="DE21" s="324"/>
      <c r="DF21" s="320"/>
      <c r="DG21" s="324"/>
      <c r="DH21" s="324"/>
      <c r="DI21" s="320"/>
      <c r="DJ21" s="324"/>
      <c r="DK21" s="324"/>
      <c r="DL21" s="320"/>
      <c r="DM21" s="324"/>
      <c r="DN21" s="325"/>
      <c r="DO21" s="320"/>
      <c r="DP21" s="324"/>
      <c r="DQ21" s="324"/>
      <c r="DR21" s="320"/>
      <c r="DS21" s="324"/>
      <c r="DT21" s="324"/>
      <c r="DU21" s="320"/>
      <c r="DV21" s="324"/>
      <c r="DW21" s="325"/>
      <c r="DX21" s="320"/>
      <c r="DY21" s="324"/>
      <c r="DZ21" s="324"/>
      <c r="EA21" s="475">
        <f>+C21+F21+I21+L21+O21+R21+U21+X21+AA21+AD21+AG21+AJ21+AM21+AP21+AS21+AV21+AY21+BB21+BE21+BH21+BK21+BN21+BQ21+BT21+BW21+BZ21+CC21+CF21+CI21+CL21+CO21+CR21+CU21+CX21+DA21+DD21+DG21+DJ21+DM21+DP21+DS21+DV21+DY21+'Chorus Champs'!C21+'Chorus Champs'!F21+'Chorus Champs'!I21</f>
        <v>21730</v>
      </c>
      <c r="EB21" s="475">
        <v>21</v>
      </c>
      <c r="EC21" s="475">
        <f t="shared" si="0"/>
        <v>1035</v>
      </c>
      <c r="ED21" s="475">
        <f>+D21+G21+J21+M21+P21+S21+V21+Y21+AB21+AE21+AH21+AK21+AN21+AQ21+AT21+AW21+AZ21+BC21+BF21+BI21+BL21+BO21+BR21+BU21+BX21+CA21+CD21+CG21+CJ21+CM21+CP21+CS21+CV21+CY21+DB21+DE21+DH21+DK21+DN21+DQ21+DT21+DW21+DZ21+'Chorus Champs'!D21+'Chorus Champs'!G21+'Chorus Champs'!J21</f>
        <v>861</v>
      </c>
      <c r="EE21" s="475">
        <f t="shared" si="1"/>
        <v>41</v>
      </c>
    </row>
    <row r="22" spans="1:135" s="294" customFormat="1" ht="18" customHeight="1" x14ac:dyDescent="0.2">
      <c r="A22" s="288">
        <v>1991</v>
      </c>
      <c r="B22" s="284" t="s">
        <v>4147</v>
      </c>
      <c r="C22" s="324">
        <v>1217</v>
      </c>
      <c r="D22" s="325">
        <v>64</v>
      </c>
      <c r="E22" s="327" t="s">
        <v>1797</v>
      </c>
      <c r="F22" s="324">
        <v>1149</v>
      </c>
      <c r="G22" s="325">
        <v>52</v>
      </c>
      <c r="H22" s="320" t="s">
        <v>1934</v>
      </c>
      <c r="I22" s="324">
        <v>1148</v>
      </c>
      <c r="J22" s="287">
        <v>59</v>
      </c>
      <c r="K22" s="320" t="s">
        <v>2004</v>
      </c>
      <c r="L22" s="324">
        <v>1138</v>
      </c>
      <c r="M22" s="325">
        <v>58</v>
      </c>
      <c r="N22" s="327" t="s">
        <v>4145</v>
      </c>
      <c r="O22" s="324">
        <v>1108</v>
      </c>
      <c r="P22" s="325">
        <v>40</v>
      </c>
      <c r="Q22" s="320" t="s">
        <v>1669</v>
      </c>
      <c r="R22" s="324">
        <v>1089</v>
      </c>
      <c r="S22" s="325">
        <v>27</v>
      </c>
      <c r="T22" s="320" t="s">
        <v>2001</v>
      </c>
      <c r="U22" s="324">
        <v>1049</v>
      </c>
      <c r="V22" s="325">
        <v>45</v>
      </c>
      <c r="W22" s="327" t="s">
        <v>1821</v>
      </c>
      <c r="X22" s="324">
        <v>1047</v>
      </c>
      <c r="Y22" s="325">
        <v>34</v>
      </c>
      <c r="Z22" s="320" t="s">
        <v>4199</v>
      </c>
      <c r="AA22" s="324">
        <v>1037</v>
      </c>
      <c r="AB22" s="325">
        <v>28</v>
      </c>
      <c r="AC22" s="320" t="s">
        <v>1822</v>
      </c>
      <c r="AD22" s="324">
        <v>1006</v>
      </c>
      <c r="AE22" s="325">
        <v>36</v>
      </c>
      <c r="AF22" s="327" t="s">
        <v>1823</v>
      </c>
      <c r="AG22" s="324">
        <v>1006</v>
      </c>
      <c r="AH22" s="325">
        <v>35</v>
      </c>
      <c r="AI22" s="320" t="s">
        <v>1802</v>
      </c>
      <c r="AJ22" s="324">
        <v>986</v>
      </c>
      <c r="AK22" s="325">
        <v>29</v>
      </c>
      <c r="AL22" s="320" t="s">
        <v>1824</v>
      </c>
      <c r="AM22" s="324">
        <v>976</v>
      </c>
      <c r="AN22" s="325">
        <v>28</v>
      </c>
      <c r="AO22" s="327" t="s">
        <v>2002</v>
      </c>
      <c r="AP22" s="324">
        <v>971</v>
      </c>
      <c r="AQ22" s="325">
        <v>36</v>
      </c>
      <c r="AR22" s="320" t="s">
        <v>1933</v>
      </c>
      <c r="AS22" s="324">
        <v>969</v>
      </c>
      <c r="AT22" s="325">
        <v>35</v>
      </c>
      <c r="AU22" s="320" t="s">
        <v>1811</v>
      </c>
      <c r="AV22" s="324">
        <v>960</v>
      </c>
      <c r="AW22" s="325">
        <v>36</v>
      </c>
      <c r="AX22" s="327" t="s">
        <v>1804</v>
      </c>
      <c r="AY22" s="324">
        <v>946</v>
      </c>
      <c r="AZ22" s="325">
        <v>28</v>
      </c>
      <c r="BA22" s="320" t="s">
        <v>2006</v>
      </c>
      <c r="BB22" s="324">
        <v>915</v>
      </c>
      <c r="BC22" s="325">
        <v>30</v>
      </c>
      <c r="BD22" s="320"/>
      <c r="BE22" s="324"/>
      <c r="BF22" s="325"/>
      <c r="BG22" s="327"/>
      <c r="BH22" s="324"/>
      <c r="BI22" s="325"/>
      <c r="BJ22" s="320"/>
      <c r="BK22" s="324"/>
      <c r="BL22" s="325"/>
      <c r="BM22" s="320"/>
      <c r="BN22" s="324"/>
      <c r="BO22" s="325"/>
      <c r="BP22" s="320"/>
      <c r="BQ22" s="324"/>
      <c r="BR22" s="325"/>
      <c r="BS22" s="320"/>
      <c r="BT22" s="324"/>
      <c r="BU22" s="325"/>
      <c r="BV22" s="320"/>
      <c r="BW22" s="324"/>
      <c r="BX22" s="325"/>
      <c r="BY22" s="320"/>
      <c r="BZ22" s="324"/>
      <c r="CA22" s="325"/>
      <c r="CB22" s="320"/>
      <c r="CC22" s="324"/>
      <c r="CD22" s="325"/>
      <c r="CE22" s="320"/>
      <c r="CF22" s="324"/>
      <c r="CG22" s="325"/>
      <c r="CH22" s="320"/>
      <c r="CI22" s="324"/>
      <c r="CJ22" s="325"/>
      <c r="CK22" s="320"/>
      <c r="CL22" s="324"/>
      <c r="CM22" s="325"/>
      <c r="CN22" s="320"/>
      <c r="CO22" s="324"/>
      <c r="CP22" s="325"/>
      <c r="CQ22" s="320"/>
      <c r="CR22" s="324"/>
      <c r="CS22" s="325"/>
      <c r="CT22" s="320"/>
      <c r="CU22" s="324"/>
      <c r="CV22" s="325"/>
      <c r="CW22" s="320"/>
      <c r="CX22" s="324"/>
      <c r="CY22" s="325"/>
      <c r="CZ22" s="320"/>
      <c r="DA22" s="324"/>
      <c r="DB22" s="325"/>
      <c r="DC22" s="320"/>
      <c r="DD22" s="324"/>
      <c r="DE22" s="324"/>
      <c r="DF22" s="320"/>
      <c r="DG22" s="324"/>
      <c r="DH22" s="324"/>
      <c r="DI22" s="320"/>
      <c r="DJ22" s="324"/>
      <c r="DK22" s="324"/>
      <c r="DL22" s="320"/>
      <c r="DM22" s="324"/>
      <c r="DN22" s="325"/>
      <c r="DO22" s="320"/>
      <c r="DP22" s="324"/>
      <c r="DQ22" s="324"/>
      <c r="DR22" s="320"/>
      <c r="DS22" s="324"/>
      <c r="DT22" s="324"/>
      <c r="DU22" s="320"/>
      <c r="DV22" s="324"/>
      <c r="DW22" s="325"/>
      <c r="DX22" s="320"/>
      <c r="DY22" s="324"/>
      <c r="DZ22" s="324"/>
      <c r="EA22" s="475">
        <f>+C22+F22+I22+L22+O22+R22+U22+X22+AA22+AD22+AG22+AJ22+AM22+AP22+AS22+AV22+AY22+BB22+BE22+BH22+BK22+BN22+BQ22+BT22+BW22+BZ22+CC22+CF22+CI22+CL22+CO22+CR22+CU22+CX22+DA22+DD22+DG22+DJ22+DM22+DP22+DS22+DV22+DY22+'Chorus Champs'!C22+'Chorus Champs'!F22+'Chorus Champs'!I22</f>
        <v>22624</v>
      </c>
      <c r="EB22" s="475">
        <v>21</v>
      </c>
      <c r="EC22" s="475">
        <f t="shared" si="0"/>
        <v>1077</v>
      </c>
      <c r="ED22" s="475">
        <f>+D22+G22+J22+M22+P22+S22+V22+Y22+AB22+AE22+AH22+AK22+AN22+AQ22+AT22+AW22+AZ22+BC22+BF22+BI22+BL22+BO22+BR22+BU22+BX22+CA22+CD22+CG22+CJ22+CM22+CP22+CS22+CV22+CY22+DB22+DE22+DH22+DK22+DN22+DQ22+DT22+DW22+DZ22+'Chorus Champs'!D22+'Chorus Champs'!G22+'Chorus Champs'!J22</f>
        <v>910</v>
      </c>
      <c r="EE22" s="475">
        <f t="shared" si="1"/>
        <v>43</v>
      </c>
    </row>
    <row r="23" spans="1:135" s="294" customFormat="1" ht="18" customHeight="1" x14ac:dyDescent="0.2">
      <c r="A23" s="288">
        <v>1992</v>
      </c>
      <c r="B23" s="284" t="s">
        <v>2380</v>
      </c>
      <c r="C23" s="324">
        <v>1220</v>
      </c>
      <c r="D23" s="325">
        <v>99</v>
      </c>
      <c r="E23" s="320" t="s">
        <v>1934</v>
      </c>
      <c r="F23" s="324">
        <v>1189</v>
      </c>
      <c r="G23" s="325">
        <v>64</v>
      </c>
      <c r="H23" s="320" t="s">
        <v>1797</v>
      </c>
      <c r="I23" s="324">
        <v>1126</v>
      </c>
      <c r="J23" s="287">
        <v>55</v>
      </c>
      <c r="K23" s="320" t="s">
        <v>1921</v>
      </c>
      <c r="L23" s="324">
        <v>1102</v>
      </c>
      <c r="M23" s="325">
        <v>44</v>
      </c>
      <c r="N23" s="320" t="s">
        <v>1821</v>
      </c>
      <c r="O23" s="324">
        <v>1096</v>
      </c>
      <c r="P23" s="325">
        <v>36</v>
      </c>
      <c r="Q23" s="320" t="s">
        <v>2381</v>
      </c>
      <c r="R23" s="324">
        <v>1096</v>
      </c>
      <c r="S23" s="325">
        <v>53</v>
      </c>
      <c r="T23" s="320" t="s">
        <v>2382</v>
      </c>
      <c r="U23" s="324">
        <v>1077</v>
      </c>
      <c r="V23" s="325">
        <v>29</v>
      </c>
      <c r="W23" s="320" t="s">
        <v>1669</v>
      </c>
      <c r="X23" s="324">
        <v>1076</v>
      </c>
      <c r="Y23" s="325">
        <v>30</v>
      </c>
      <c r="Z23" s="320" t="s">
        <v>2001</v>
      </c>
      <c r="AA23" s="324">
        <v>1071</v>
      </c>
      <c r="AB23" s="325">
        <v>47</v>
      </c>
      <c r="AC23" s="320" t="s">
        <v>2383</v>
      </c>
      <c r="AD23" s="324">
        <v>1017</v>
      </c>
      <c r="AE23" s="325">
        <v>33</v>
      </c>
      <c r="AF23" s="320" t="s">
        <v>2003</v>
      </c>
      <c r="AG23" s="324">
        <v>1013</v>
      </c>
      <c r="AH23" s="325">
        <v>42</v>
      </c>
      <c r="AI23" s="320" t="s">
        <v>2384</v>
      </c>
      <c r="AJ23" s="324">
        <v>996</v>
      </c>
      <c r="AK23" s="325">
        <v>25</v>
      </c>
      <c r="AL23" s="320" t="s">
        <v>2385</v>
      </c>
      <c r="AM23" s="324">
        <v>988</v>
      </c>
      <c r="AN23" s="325">
        <v>17</v>
      </c>
      <c r="AO23" s="320" t="s">
        <v>2386</v>
      </c>
      <c r="AP23" s="324">
        <v>950</v>
      </c>
      <c r="AQ23" s="325">
        <v>34</v>
      </c>
      <c r="AR23" s="320" t="s">
        <v>1803</v>
      </c>
      <c r="AS23" s="324">
        <v>936</v>
      </c>
      <c r="AT23" s="325">
        <v>37</v>
      </c>
      <c r="AU23" s="320" t="s">
        <v>1811</v>
      </c>
      <c r="AV23" s="324">
        <v>909</v>
      </c>
      <c r="AW23" s="325">
        <v>44</v>
      </c>
      <c r="AX23" s="320" t="s">
        <v>2002</v>
      </c>
      <c r="AY23" s="324">
        <v>899</v>
      </c>
      <c r="AZ23" s="325">
        <v>37</v>
      </c>
      <c r="BA23" s="320" t="s">
        <v>4199</v>
      </c>
      <c r="BB23" s="324">
        <v>897</v>
      </c>
      <c r="BC23" s="325">
        <v>27</v>
      </c>
      <c r="BD23" s="320"/>
      <c r="BE23" s="324"/>
      <c r="BF23" s="325"/>
      <c r="BG23" s="320"/>
      <c r="BH23" s="324"/>
      <c r="BI23" s="325"/>
      <c r="BJ23" s="320"/>
      <c r="BK23" s="324"/>
      <c r="BL23" s="325"/>
      <c r="BM23" s="320"/>
      <c r="BN23" s="324"/>
      <c r="BO23" s="325"/>
      <c r="BP23" s="320"/>
      <c r="BQ23" s="324"/>
      <c r="BR23" s="325"/>
      <c r="BS23" s="320"/>
      <c r="BT23" s="324"/>
      <c r="BU23" s="325"/>
      <c r="BV23" s="320"/>
      <c r="BW23" s="324"/>
      <c r="BX23" s="325"/>
      <c r="BY23" s="320"/>
      <c r="BZ23" s="324"/>
      <c r="CA23" s="325"/>
      <c r="CB23" s="320"/>
      <c r="CC23" s="324"/>
      <c r="CD23" s="325"/>
      <c r="CE23" s="320"/>
      <c r="CF23" s="324"/>
      <c r="CG23" s="325"/>
      <c r="CH23" s="320"/>
      <c r="CI23" s="324"/>
      <c r="CJ23" s="325"/>
      <c r="CK23" s="320"/>
      <c r="CL23" s="324"/>
      <c r="CM23" s="325"/>
      <c r="CN23" s="320"/>
      <c r="CO23" s="324"/>
      <c r="CP23" s="325"/>
      <c r="CQ23" s="320"/>
      <c r="CR23" s="324"/>
      <c r="CS23" s="325"/>
      <c r="CT23" s="320"/>
      <c r="CU23" s="324"/>
      <c r="CV23" s="325"/>
      <c r="CW23" s="320"/>
      <c r="CX23" s="324"/>
      <c r="CY23" s="325"/>
      <c r="CZ23" s="320"/>
      <c r="DA23" s="324"/>
      <c r="DB23" s="325"/>
      <c r="DC23" s="320"/>
      <c r="DD23" s="324"/>
      <c r="DE23" s="324"/>
      <c r="DF23" s="320"/>
      <c r="DG23" s="324"/>
      <c r="DH23" s="324"/>
      <c r="DI23" s="320"/>
      <c r="DJ23" s="324"/>
      <c r="DK23" s="324"/>
      <c r="DL23" s="320"/>
      <c r="DM23" s="324"/>
      <c r="DN23" s="325"/>
      <c r="DO23" s="320"/>
      <c r="DP23" s="324"/>
      <c r="DQ23" s="324"/>
      <c r="DR23" s="320"/>
      <c r="DS23" s="324"/>
      <c r="DT23" s="324"/>
      <c r="DU23" s="320"/>
      <c r="DV23" s="324"/>
      <c r="DW23" s="325"/>
      <c r="DX23" s="320"/>
      <c r="DY23" s="324"/>
      <c r="DZ23" s="324"/>
      <c r="EA23" s="475">
        <f>+C23+F23+I23+L23+O23+R23+U23+X23+AA23+AD23+AG23+AJ23+AM23+AP23+AS23+AV23+AY23+BB23+BE23+BH23+BK23+BN23+BQ23+BT23+BW23+BZ23+CC23+CF23+CI23+CL23+CO23+CR23+CU23+CX23+DA23+DD23+DG23+DJ23+DM23+DP23+DS23+DV23+DY23+'Chorus Champs'!C23+'Chorus Champs'!F23+'Chorus Champs'!I23</f>
        <v>22449</v>
      </c>
      <c r="EB23" s="475">
        <v>21</v>
      </c>
      <c r="EC23" s="475">
        <f t="shared" si="0"/>
        <v>1069</v>
      </c>
      <c r="ED23" s="475">
        <f>+D23+G23+J23+M23+P23+S23+V23+Y23+AB23+AE23+AH23+AK23+AN23+AQ23+AT23+AW23+AZ23+BC23+BF23+BI23+BL23+BO23+BR23+BU23+BX23+CA23+CD23+CG23+CJ23+CM23+CP23+CS23+CV23+CY23+DB23+DE23+DH23+DK23+DN23+DQ23+DT23+DW23+DZ23+'Chorus Champs'!D23+'Chorus Champs'!G23+'Chorus Champs'!J23</f>
        <v>931</v>
      </c>
      <c r="EE23" s="475">
        <f t="shared" si="1"/>
        <v>44</v>
      </c>
    </row>
    <row r="24" spans="1:135" s="294" customFormat="1" ht="18" customHeight="1" x14ac:dyDescent="0.2">
      <c r="A24" s="288">
        <v>1993</v>
      </c>
      <c r="B24" s="284" t="s">
        <v>2387</v>
      </c>
      <c r="C24" s="324">
        <v>1208</v>
      </c>
      <c r="D24" s="325">
        <v>56</v>
      </c>
      <c r="E24" s="320" t="s">
        <v>543</v>
      </c>
      <c r="F24" s="324">
        <v>1203</v>
      </c>
      <c r="G24" s="325">
        <v>64</v>
      </c>
      <c r="H24" s="320" t="s">
        <v>1934</v>
      </c>
      <c r="I24" s="324">
        <v>1166</v>
      </c>
      <c r="J24" s="287">
        <v>80</v>
      </c>
      <c r="K24" s="320" t="s">
        <v>2388</v>
      </c>
      <c r="L24" s="324">
        <v>1139</v>
      </c>
      <c r="M24" s="325">
        <v>25</v>
      </c>
      <c r="N24" s="320" t="s">
        <v>1797</v>
      </c>
      <c r="O24" s="324">
        <v>1111</v>
      </c>
      <c r="P24" s="325">
        <v>52</v>
      </c>
      <c r="Q24" s="320" t="s">
        <v>2381</v>
      </c>
      <c r="R24" s="324">
        <v>1054</v>
      </c>
      <c r="S24" s="325">
        <v>46</v>
      </c>
      <c r="T24" s="320" t="s">
        <v>2389</v>
      </c>
      <c r="U24" s="324">
        <v>1049</v>
      </c>
      <c r="V24" s="325">
        <v>37</v>
      </c>
      <c r="W24" s="320" t="s">
        <v>1921</v>
      </c>
      <c r="X24" s="324">
        <v>1046</v>
      </c>
      <c r="Y24" s="325">
        <v>45</v>
      </c>
      <c r="Z24" s="320" t="s">
        <v>2390</v>
      </c>
      <c r="AA24" s="324">
        <v>1040</v>
      </c>
      <c r="AB24" s="325">
        <v>39</v>
      </c>
      <c r="AC24" s="320" t="s">
        <v>2001</v>
      </c>
      <c r="AD24" s="324">
        <v>1039</v>
      </c>
      <c r="AE24" s="325">
        <v>54</v>
      </c>
      <c r="AF24" s="320" t="s">
        <v>4199</v>
      </c>
      <c r="AG24" s="324">
        <v>998</v>
      </c>
      <c r="AH24" s="325">
        <v>24</v>
      </c>
      <c r="AI24" s="320" t="s">
        <v>1935</v>
      </c>
      <c r="AJ24" s="324">
        <v>986</v>
      </c>
      <c r="AK24" s="325">
        <v>31</v>
      </c>
      <c r="AL24" s="320" t="s">
        <v>2391</v>
      </c>
      <c r="AM24" s="324">
        <v>978</v>
      </c>
      <c r="AN24" s="325">
        <v>33</v>
      </c>
      <c r="AO24" s="320" t="s">
        <v>2392</v>
      </c>
      <c r="AP24" s="324">
        <v>962</v>
      </c>
      <c r="AQ24" s="325">
        <v>37</v>
      </c>
      <c r="AR24" s="320" t="s">
        <v>1803</v>
      </c>
      <c r="AS24" s="324">
        <v>957</v>
      </c>
      <c r="AT24" s="325">
        <v>33</v>
      </c>
      <c r="AU24" s="320" t="s">
        <v>1800</v>
      </c>
      <c r="AV24" s="324">
        <v>936</v>
      </c>
      <c r="AW24" s="325">
        <v>28</v>
      </c>
      <c r="AX24" s="320" t="s">
        <v>2393</v>
      </c>
      <c r="AY24" s="324">
        <v>911</v>
      </c>
      <c r="AZ24" s="325">
        <v>39</v>
      </c>
      <c r="BA24" s="320" t="s">
        <v>2006</v>
      </c>
      <c r="BB24" s="324">
        <v>889</v>
      </c>
      <c r="BC24" s="325">
        <v>32</v>
      </c>
      <c r="BD24" s="320"/>
      <c r="BE24" s="324"/>
      <c r="BF24" s="325"/>
      <c r="BG24" s="320"/>
      <c r="BH24" s="324"/>
      <c r="BI24" s="325"/>
      <c r="BJ24" s="320"/>
      <c r="BK24" s="324"/>
      <c r="BL24" s="325"/>
      <c r="BM24" s="320"/>
      <c r="BN24" s="324"/>
      <c r="BO24" s="325"/>
      <c r="BP24" s="320"/>
      <c r="BQ24" s="324"/>
      <c r="BR24" s="325"/>
      <c r="BS24" s="320"/>
      <c r="BT24" s="324"/>
      <c r="BU24" s="325"/>
      <c r="BV24" s="320"/>
      <c r="BW24" s="324"/>
      <c r="BX24" s="325"/>
      <c r="BY24" s="320"/>
      <c r="BZ24" s="324"/>
      <c r="CA24" s="325"/>
      <c r="CB24" s="320"/>
      <c r="CC24" s="324"/>
      <c r="CD24" s="325"/>
      <c r="CE24" s="320"/>
      <c r="CF24" s="324"/>
      <c r="CG24" s="325"/>
      <c r="CH24" s="320"/>
      <c r="CI24" s="324"/>
      <c r="CJ24" s="325"/>
      <c r="CK24" s="320"/>
      <c r="CL24" s="324"/>
      <c r="CM24" s="325"/>
      <c r="CN24" s="320"/>
      <c r="CO24" s="324"/>
      <c r="CP24" s="325"/>
      <c r="CQ24" s="320"/>
      <c r="CR24" s="324"/>
      <c r="CS24" s="325"/>
      <c r="CT24" s="320"/>
      <c r="CU24" s="324"/>
      <c r="CV24" s="325"/>
      <c r="CW24" s="320"/>
      <c r="CX24" s="324"/>
      <c r="CY24" s="325"/>
      <c r="CZ24" s="320"/>
      <c r="DA24" s="324"/>
      <c r="DB24" s="325"/>
      <c r="DC24" s="320"/>
      <c r="DD24" s="324"/>
      <c r="DE24" s="324"/>
      <c r="DF24" s="320"/>
      <c r="DG24" s="324"/>
      <c r="DH24" s="324"/>
      <c r="DI24" s="320"/>
      <c r="DJ24" s="324"/>
      <c r="DK24" s="324"/>
      <c r="DL24" s="320"/>
      <c r="DM24" s="324"/>
      <c r="DN24" s="325"/>
      <c r="DO24" s="320"/>
      <c r="DP24" s="324"/>
      <c r="DQ24" s="324"/>
      <c r="DR24" s="320"/>
      <c r="DS24" s="324"/>
      <c r="DT24" s="324"/>
      <c r="DU24" s="320"/>
      <c r="DV24" s="324"/>
      <c r="DW24" s="325"/>
      <c r="DX24" s="320"/>
      <c r="DY24" s="324"/>
      <c r="DZ24" s="324"/>
      <c r="EA24" s="475">
        <f>+C24+F24+I24+L24+O24+R24+U24+X24+AA24+AD24+AG24+AJ24+AM24+AP24+AS24+AV24+AY24+BB24+BE24+BH24+BK24+BN24+BQ24+BT24+BW24+BZ24+CC24+CF24+CI24+CL24+CO24+CR24+CU24+CX24+DA24+DD24+DG24+DJ24+DM24+DP24+DS24+DV24+DY24+'Chorus Champs'!C24+'Chorus Champs'!F24+'Chorus Champs'!I24</f>
        <v>22640</v>
      </c>
      <c r="EB24" s="475">
        <v>21</v>
      </c>
      <c r="EC24" s="475">
        <f t="shared" si="0"/>
        <v>1078</v>
      </c>
      <c r="ED24" s="475">
        <f>+D24+G24+J24+M24+P24+S24+V24+Y24+AB24+AE24+AH24+AK24+AN24+AQ24+AT24+AW24+AZ24+BC24+BF24+BI24+BL24+BO24+BR24+BU24+BX24+CA24+CD24+CG24+CJ24+CM24+CP24+CS24+CV24+CY24+DB24+DE24+DH24+DK24+DN24+DQ24+DT24+DW24+DZ24+'Chorus Champs'!D24+'Chorus Champs'!G24+'Chorus Champs'!J24</f>
        <v>974</v>
      </c>
      <c r="EE24" s="475">
        <f t="shared" si="1"/>
        <v>46</v>
      </c>
    </row>
    <row r="25" spans="1:135" s="294" customFormat="1" ht="18" customHeight="1" x14ac:dyDescent="0.2">
      <c r="A25" s="288">
        <v>1994</v>
      </c>
      <c r="B25" s="284" t="s">
        <v>2394</v>
      </c>
      <c r="C25" s="627">
        <v>0.70720000000000005</v>
      </c>
      <c r="D25" s="325">
        <v>83</v>
      </c>
      <c r="E25" s="320" t="s">
        <v>1797</v>
      </c>
      <c r="F25" s="627">
        <v>0.69499999999999995</v>
      </c>
      <c r="G25" s="325">
        <v>52</v>
      </c>
      <c r="H25" s="320" t="s">
        <v>2388</v>
      </c>
      <c r="I25" s="627">
        <v>0.66439999999999999</v>
      </c>
      <c r="J25" s="287">
        <v>42</v>
      </c>
      <c r="K25" s="320" t="s">
        <v>2387</v>
      </c>
      <c r="L25" s="627">
        <v>0.64170000000000005</v>
      </c>
      <c r="M25" s="325">
        <v>62</v>
      </c>
      <c r="N25" s="320" t="s">
        <v>2001</v>
      </c>
      <c r="O25" s="627">
        <v>0.63719999999999999</v>
      </c>
      <c r="P25" s="325">
        <v>47</v>
      </c>
      <c r="Q25" s="320" t="s">
        <v>2389</v>
      </c>
      <c r="R25" s="627">
        <v>0.61109999999999998</v>
      </c>
      <c r="S25" s="325">
        <v>31</v>
      </c>
      <c r="T25" s="320" t="s">
        <v>1921</v>
      </c>
      <c r="U25" s="627">
        <v>0.60109999999999997</v>
      </c>
      <c r="V25" s="325">
        <v>43</v>
      </c>
      <c r="W25" s="320" t="s">
        <v>1800</v>
      </c>
      <c r="X25" s="627">
        <v>0.59499999999999997</v>
      </c>
      <c r="Y25" s="325">
        <v>34</v>
      </c>
      <c r="Z25" s="320" t="s">
        <v>1923</v>
      </c>
      <c r="AA25" s="627">
        <v>0.59389999999999998</v>
      </c>
      <c r="AB25" s="325">
        <v>44</v>
      </c>
      <c r="AC25" s="320" t="s">
        <v>2383</v>
      </c>
      <c r="AD25" s="627">
        <v>0.57940000000000003</v>
      </c>
      <c r="AE25" s="325">
        <v>32</v>
      </c>
      <c r="AF25" s="320" t="s">
        <v>2395</v>
      </c>
      <c r="AG25" s="627">
        <v>0.52170000000000005</v>
      </c>
      <c r="AH25" s="325">
        <v>35</v>
      </c>
      <c r="AI25" s="320" t="s">
        <v>2396</v>
      </c>
      <c r="AJ25" s="627">
        <v>0.49890000000000001</v>
      </c>
      <c r="AK25" s="325">
        <v>30</v>
      </c>
      <c r="AL25" s="320" t="s">
        <v>2397</v>
      </c>
      <c r="AM25" s="627">
        <v>0.49330000000000002</v>
      </c>
      <c r="AN25" s="325">
        <v>21</v>
      </c>
      <c r="AO25" s="320" t="s">
        <v>1772</v>
      </c>
      <c r="AP25" s="627">
        <v>0.48559999999999998</v>
      </c>
      <c r="AQ25" s="325">
        <v>18</v>
      </c>
      <c r="AR25" s="320" t="s">
        <v>1803</v>
      </c>
      <c r="AS25" s="627">
        <v>0.48</v>
      </c>
      <c r="AT25" s="325">
        <v>24</v>
      </c>
      <c r="AU25" s="320" t="s">
        <v>1773</v>
      </c>
      <c r="AV25" s="627">
        <v>0.4733</v>
      </c>
      <c r="AW25" s="325">
        <v>28</v>
      </c>
      <c r="AX25" s="320" t="s">
        <v>1774</v>
      </c>
      <c r="AY25" s="627">
        <v>0.46279999999999999</v>
      </c>
      <c r="AZ25" s="325">
        <v>33</v>
      </c>
      <c r="BA25" s="320" t="s">
        <v>1775</v>
      </c>
      <c r="BB25" s="627">
        <v>0.42059999999999997</v>
      </c>
      <c r="BC25" s="325">
        <v>20</v>
      </c>
      <c r="BD25" s="320"/>
      <c r="BE25" s="324"/>
      <c r="BF25" s="325"/>
      <c r="BG25" s="320"/>
      <c r="BH25" s="627"/>
      <c r="BI25" s="325"/>
      <c r="BJ25" s="320"/>
      <c r="BK25" s="324"/>
      <c r="BL25" s="325"/>
      <c r="BM25" s="320"/>
      <c r="BN25" s="324"/>
      <c r="BO25" s="325"/>
      <c r="BP25" s="320"/>
      <c r="BQ25" s="324"/>
      <c r="BR25" s="325"/>
      <c r="BS25" s="320"/>
      <c r="BT25" s="324"/>
      <c r="BU25" s="325"/>
      <c r="BV25" s="320"/>
      <c r="BW25" s="324"/>
      <c r="BX25" s="325"/>
      <c r="BY25" s="320"/>
      <c r="BZ25" s="324"/>
      <c r="CA25" s="325"/>
      <c r="CB25" s="320"/>
      <c r="CC25" s="324"/>
      <c r="CD25" s="325"/>
      <c r="CE25" s="320"/>
      <c r="CF25" s="324"/>
      <c r="CG25" s="325"/>
      <c r="CH25" s="320"/>
      <c r="CI25" s="324"/>
      <c r="CJ25" s="325"/>
      <c r="CK25" s="320"/>
      <c r="CL25" s="324"/>
      <c r="CM25" s="325"/>
      <c r="CN25" s="320"/>
      <c r="CO25" s="324"/>
      <c r="CP25" s="325"/>
      <c r="CQ25" s="320"/>
      <c r="CR25" s="324"/>
      <c r="CS25" s="325"/>
      <c r="CT25" s="320"/>
      <c r="CU25" s="324"/>
      <c r="CV25" s="325"/>
      <c r="CW25" s="320"/>
      <c r="CX25" s="324"/>
      <c r="CY25" s="325"/>
      <c r="CZ25" s="320"/>
      <c r="DA25" s="324"/>
      <c r="DB25" s="325"/>
      <c r="DC25" s="320"/>
      <c r="DD25" s="324"/>
      <c r="DE25" s="324"/>
      <c r="DF25" s="320"/>
      <c r="DG25" s="324"/>
      <c r="DH25" s="324"/>
      <c r="DI25" s="320"/>
      <c r="DJ25" s="324"/>
      <c r="DK25" s="324"/>
      <c r="DL25" s="320"/>
      <c r="DM25" s="324"/>
      <c r="DN25" s="325"/>
      <c r="DO25" s="320"/>
      <c r="DP25" s="324"/>
      <c r="DQ25" s="324"/>
      <c r="DR25" s="320"/>
      <c r="DS25" s="324"/>
      <c r="DT25" s="324"/>
      <c r="DU25" s="320"/>
      <c r="DV25" s="324"/>
      <c r="DW25" s="325"/>
      <c r="DX25" s="320"/>
      <c r="DY25" s="324"/>
      <c r="DZ25" s="324"/>
      <c r="EA25" s="630">
        <f>+C25+F25+I25+L25+O25+R25+U25+X25+AA25+AD25+AG25+AJ25+AM25+AP25+AS25+AV25+AY25+BB25+BE25+BH25+BK25+BN25+BQ25+BT25+BW25+BZ25+CC25+CF25+CI25+CL25+CO25+CR25+CU25+CX25+DA25+DD25+DG25+DJ25+DM25+DP25+DS25+DV25+DY25+'Chorus Champs'!C25+'Chorus Champs'!F25+'Chorus Champs'!I25</f>
        <v>12.375</v>
      </c>
      <c r="EB25" s="475">
        <v>21</v>
      </c>
      <c r="EC25" s="630">
        <f t="shared" si="0"/>
        <v>0.58930000000000005</v>
      </c>
      <c r="ED25" s="475">
        <f>+D25+G25+J25+M25+P25+S25+V25+Y25+AB25+AE25+AH25+AK25+AN25+AQ25+AT25+AW25+AZ25+BC25+BF25+BI25+BL25+BO25+BR25+BU25+BX25+CA25+CD25+CG25+CJ25+CM25+CP25+CS25+CV25+CY25+DB25+DE25+DH25+DK25+DN25+DQ25+DT25+DW25+DZ25+'Chorus Champs'!D25+'Chorus Champs'!G25+'Chorus Champs'!J25</f>
        <v>863</v>
      </c>
      <c r="EE25" s="475">
        <f t="shared" si="1"/>
        <v>41</v>
      </c>
    </row>
    <row r="26" spans="1:135" s="294" customFormat="1" ht="18" customHeight="1" x14ac:dyDescent="0.2">
      <c r="A26" s="288">
        <v>1995</v>
      </c>
      <c r="B26" s="284" t="s">
        <v>2394</v>
      </c>
      <c r="C26" s="627">
        <v>0.73670000000000002</v>
      </c>
      <c r="D26" s="325">
        <v>82</v>
      </c>
      <c r="E26" s="320" t="s">
        <v>2385</v>
      </c>
      <c r="F26" s="627">
        <v>0.72109999999999996</v>
      </c>
      <c r="G26" s="325">
        <v>21</v>
      </c>
      <c r="H26" s="320" t="s">
        <v>1802</v>
      </c>
      <c r="I26" s="627">
        <v>0.69389999999999996</v>
      </c>
      <c r="J26" s="287">
        <v>41</v>
      </c>
      <c r="K26" s="320" t="s">
        <v>2389</v>
      </c>
      <c r="L26" s="627">
        <v>0.68779999999999997</v>
      </c>
      <c r="M26" s="325">
        <v>32</v>
      </c>
      <c r="N26" s="320" t="s">
        <v>1797</v>
      </c>
      <c r="O26" s="627">
        <v>0.67720000000000002</v>
      </c>
      <c r="P26" s="325">
        <v>45</v>
      </c>
      <c r="Q26" s="320" t="s">
        <v>2387</v>
      </c>
      <c r="R26" s="627">
        <v>0.62219999999999998</v>
      </c>
      <c r="S26" s="325">
        <v>45</v>
      </c>
      <c r="T26" s="320" t="s">
        <v>1776</v>
      </c>
      <c r="U26" s="627">
        <v>0.59109999999999996</v>
      </c>
      <c r="V26" s="325">
        <v>45</v>
      </c>
      <c r="W26" s="320" t="s">
        <v>1777</v>
      </c>
      <c r="X26" s="627">
        <v>0.56720000000000004</v>
      </c>
      <c r="Y26" s="325">
        <v>25</v>
      </c>
      <c r="Z26" s="320" t="s">
        <v>1800</v>
      </c>
      <c r="AA26" s="627">
        <v>0.52500000000000002</v>
      </c>
      <c r="AB26" s="325">
        <v>26</v>
      </c>
      <c r="AC26" s="320" t="s">
        <v>1811</v>
      </c>
      <c r="AD26" s="627">
        <v>0.51939999999999997</v>
      </c>
      <c r="AE26" s="325">
        <v>38</v>
      </c>
      <c r="AF26" s="320" t="s">
        <v>1778</v>
      </c>
      <c r="AG26" s="627">
        <v>0.51829999999999998</v>
      </c>
      <c r="AH26" s="325">
        <v>43</v>
      </c>
      <c r="AI26" s="320" t="s">
        <v>1779</v>
      </c>
      <c r="AJ26" s="627">
        <v>0.51780000000000004</v>
      </c>
      <c r="AK26" s="325">
        <v>24</v>
      </c>
      <c r="AL26" s="320" t="s">
        <v>2397</v>
      </c>
      <c r="AM26" s="627">
        <v>0.49330000000000002</v>
      </c>
      <c r="AN26" s="325">
        <v>21</v>
      </c>
      <c r="AO26" s="320"/>
      <c r="AP26" s="627"/>
      <c r="AQ26" s="325"/>
      <c r="AR26" s="320"/>
      <c r="AS26" s="627"/>
      <c r="AT26" s="325"/>
      <c r="AU26" s="320"/>
      <c r="AV26" s="627"/>
      <c r="AW26" s="325"/>
      <c r="AX26" s="320"/>
      <c r="AY26" s="627"/>
      <c r="AZ26" s="325"/>
      <c r="BA26" s="320"/>
      <c r="BB26" s="627"/>
      <c r="BC26" s="325"/>
      <c r="BD26" s="320"/>
      <c r="BE26" s="324"/>
      <c r="BF26" s="325"/>
      <c r="BG26" s="320"/>
      <c r="BH26" s="627"/>
      <c r="BI26" s="325"/>
      <c r="BJ26" s="320"/>
      <c r="BK26" s="324"/>
      <c r="BL26" s="325"/>
      <c r="BM26" s="320"/>
      <c r="BN26" s="324"/>
      <c r="BO26" s="325"/>
      <c r="BP26" s="320"/>
      <c r="BQ26" s="324"/>
      <c r="BR26" s="325"/>
      <c r="BS26" s="320"/>
      <c r="BT26" s="324"/>
      <c r="BU26" s="325"/>
      <c r="BV26" s="320"/>
      <c r="BW26" s="324"/>
      <c r="BX26" s="325"/>
      <c r="BY26" s="320"/>
      <c r="BZ26" s="324"/>
      <c r="CA26" s="325"/>
      <c r="CB26" s="320"/>
      <c r="CC26" s="324"/>
      <c r="CD26" s="325"/>
      <c r="CE26" s="320"/>
      <c r="CF26" s="324"/>
      <c r="CG26" s="325"/>
      <c r="CH26" s="320"/>
      <c r="CI26" s="324"/>
      <c r="CJ26" s="325"/>
      <c r="CK26" s="320"/>
      <c r="CL26" s="324"/>
      <c r="CM26" s="325"/>
      <c r="CN26" s="320"/>
      <c r="CO26" s="324"/>
      <c r="CP26" s="325"/>
      <c r="CQ26" s="320"/>
      <c r="CR26" s="324"/>
      <c r="CS26" s="325"/>
      <c r="CT26" s="320"/>
      <c r="CU26" s="324"/>
      <c r="CV26" s="325"/>
      <c r="CW26" s="320"/>
      <c r="CX26" s="324"/>
      <c r="CY26" s="325"/>
      <c r="CZ26" s="320"/>
      <c r="DA26" s="324"/>
      <c r="DB26" s="325"/>
      <c r="DC26" s="320"/>
      <c r="DD26" s="324"/>
      <c r="DE26" s="324"/>
      <c r="DF26" s="320"/>
      <c r="DG26" s="324"/>
      <c r="DH26" s="324"/>
      <c r="DI26" s="320"/>
      <c r="DJ26" s="324"/>
      <c r="DK26" s="324"/>
      <c r="DL26" s="320"/>
      <c r="DM26" s="324"/>
      <c r="DN26" s="325"/>
      <c r="DO26" s="320"/>
      <c r="DP26" s="324"/>
      <c r="DQ26" s="324"/>
      <c r="DR26" s="320"/>
      <c r="DS26" s="324"/>
      <c r="DT26" s="324"/>
      <c r="DU26" s="320"/>
      <c r="DV26" s="324"/>
      <c r="DW26" s="325"/>
      <c r="DX26" s="320"/>
      <c r="DY26" s="324"/>
      <c r="DZ26" s="324"/>
      <c r="EA26" s="630">
        <f>+C26+F26+I26+L26+O26+R26+U26+X26+AA26+AD26+AG26+AJ26+AM26+AP26+AS26+AV26+AY26+BB26+BE26+BH26+BK26+BN26+BQ26+BT26+BW26+BZ26+CC26+CF26+CI26+CL26+CO26+CR26+CU26+CX26+DA26+DD26+DG26+DJ26+DM26+DP26+DS26+DV26+DY26+'Chorus Champs'!C26+'Chorus Champs'!F26+'Chorus Champs'!I26</f>
        <v>10.194900000000001</v>
      </c>
      <c r="EB26" s="475">
        <v>16</v>
      </c>
      <c r="EC26" s="630">
        <f t="shared" si="0"/>
        <v>0.63719999999999999</v>
      </c>
      <c r="ED26" s="475">
        <f>+D26+G26+J26+M26+P26+S26+V26+Y26+AB26+AE26+AH26+AK26+AN26+AQ26+AT26+AW26+AZ26+BC26+BF26+BI26+BL26+BO26+BR26+BU26+BX26+CA26+CD26+CG26+CJ26+CM26+CP26+CS26+CV26+CY26+DB26+DE26+DH26+DK26+DN26+DQ26+DT26+DW26+DZ26+'Chorus Champs'!D26+'Chorus Champs'!G26+'Chorus Champs'!J26</f>
        <v>680</v>
      </c>
      <c r="EE26" s="475">
        <f t="shared" si="1"/>
        <v>43</v>
      </c>
    </row>
    <row r="27" spans="1:135" s="294" customFormat="1" ht="18" customHeight="1" x14ac:dyDescent="0.2">
      <c r="A27" s="288">
        <v>1996</v>
      </c>
      <c r="B27" s="284" t="s">
        <v>2385</v>
      </c>
      <c r="C27" s="627">
        <v>0.77110000000000001</v>
      </c>
      <c r="D27" s="325">
        <v>14</v>
      </c>
      <c r="E27" s="320" t="s">
        <v>1780</v>
      </c>
      <c r="F27" s="627">
        <v>0.74890000000000001</v>
      </c>
      <c r="G27" s="325">
        <v>75</v>
      </c>
      <c r="H27" s="320" t="s">
        <v>1802</v>
      </c>
      <c r="I27" s="627">
        <v>0.68940000000000001</v>
      </c>
      <c r="J27" s="287">
        <v>45</v>
      </c>
      <c r="K27" s="320" t="s">
        <v>1797</v>
      </c>
      <c r="L27" s="627">
        <v>0.68</v>
      </c>
      <c r="M27" s="325">
        <v>43</v>
      </c>
      <c r="N27" s="320" t="s">
        <v>1781</v>
      </c>
      <c r="O27" s="627">
        <v>0.65780000000000005</v>
      </c>
      <c r="P27" s="325">
        <v>35</v>
      </c>
      <c r="Q27" s="320" t="s">
        <v>1783</v>
      </c>
      <c r="R27" s="627">
        <v>0.65720000000000001</v>
      </c>
      <c r="S27" s="325">
        <v>32</v>
      </c>
      <c r="T27" s="320" t="s">
        <v>2387</v>
      </c>
      <c r="U27" s="627">
        <v>0.64890000000000003</v>
      </c>
      <c r="V27" s="325">
        <v>65</v>
      </c>
      <c r="W27" s="284" t="s">
        <v>1784</v>
      </c>
      <c r="X27" s="627">
        <v>0.61499999999999999</v>
      </c>
      <c r="Y27" s="325">
        <v>50</v>
      </c>
      <c r="Z27" s="320" t="s">
        <v>2389</v>
      </c>
      <c r="AA27" s="627">
        <v>0.61329999999999996</v>
      </c>
      <c r="AB27" s="325">
        <v>34</v>
      </c>
      <c r="AC27" s="320" t="s">
        <v>1776</v>
      </c>
      <c r="AD27" s="627">
        <v>0.5978</v>
      </c>
      <c r="AE27" s="325">
        <v>43</v>
      </c>
      <c r="AF27" s="320" t="s">
        <v>1823</v>
      </c>
      <c r="AG27" s="627">
        <v>0.59109999999999996</v>
      </c>
      <c r="AH27" s="325">
        <v>23</v>
      </c>
      <c r="AI27" s="320" t="s">
        <v>1811</v>
      </c>
      <c r="AJ27" s="627">
        <v>0.59</v>
      </c>
      <c r="AK27" s="325">
        <v>44</v>
      </c>
      <c r="AL27" s="320" t="s">
        <v>1778</v>
      </c>
      <c r="AM27" s="627">
        <v>0.56000000000000005</v>
      </c>
      <c r="AN27" s="325">
        <v>38</v>
      </c>
      <c r="AO27" s="320" t="s">
        <v>3615</v>
      </c>
      <c r="AP27" s="627">
        <v>0.55830000000000002</v>
      </c>
      <c r="AQ27" s="325">
        <v>19</v>
      </c>
      <c r="AR27" s="320" t="s">
        <v>2397</v>
      </c>
      <c r="AS27" s="627">
        <v>0.55500000000000005</v>
      </c>
      <c r="AT27" s="325">
        <v>19</v>
      </c>
      <c r="AU27" s="320" t="s">
        <v>3886</v>
      </c>
      <c r="AV27" s="627">
        <v>0.55220000000000002</v>
      </c>
      <c r="AW27" s="325">
        <v>22</v>
      </c>
      <c r="AX27" s="320" t="s">
        <v>1779</v>
      </c>
      <c r="AY27" s="627">
        <v>0.52059999999999995</v>
      </c>
      <c r="AZ27" s="325">
        <v>19</v>
      </c>
      <c r="BA27" s="320"/>
      <c r="BB27" s="627"/>
      <c r="BC27" s="325"/>
      <c r="BD27" s="320"/>
      <c r="BE27" s="324"/>
      <c r="BF27" s="325"/>
      <c r="BG27" s="320"/>
      <c r="BH27" s="627"/>
      <c r="BI27" s="325"/>
      <c r="BJ27" s="320"/>
      <c r="BK27" s="324"/>
      <c r="BL27" s="325"/>
      <c r="BM27" s="320"/>
      <c r="BN27" s="324"/>
      <c r="BO27" s="325"/>
      <c r="BP27" s="320"/>
      <c r="BQ27" s="324"/>
      <c r="BR27" s="325"/>
      <c r="BS27" s="320"/>
      <c r="BT27" s="324"/>
      <c r="BU27" s="325"/>
      <c r="BV27" s="320"/>
      <c r="BW27" s="324"/>
      <c r="BX27" s="325"/>
      <c r="BY27" s="320"/>
      <c r="BZ27" s="324"/>
      <c r="CA27" s="325"/>
      <c r="CB27" s="320"/>
      <c r="CC27" s="324"/>
      <c r="CD27" s="325"/>
      <c r="CE27" s="320"/>
      <c r="CF27" s="324"/>
      <c r="CG27" s="325"/>
      <c r="CH27" s="320"/>
      <c r="CI27" s="324"/>
      <c r="CJ27" s="325"/>
      <c r="CK27" s="320"/>
      <c r="CL27" s="324"/>
      <c r="CM27" s="325"/>
      <c r="CN27" s="320"/>
      <c r="CO27" s="324"/>
      <c r="CP27" s="325"/>
      <c r="CQ27" s="320"/>
      <c r="CR27" s="324"/>
      <c r="CS27" s="325"/>
      <c r="CT27" s="320"/>
      <c r="CU27" s="324"/>
      <c r="CV27" s="325"/>
      <c r="CW27" s="320"/>
      <c r="CX27" s="324"/>
      <c r="CY27" s="325"/>
      <c r="CZ27" s="320"/>
      <c r="DA27" s="324"/>
      <c r="DB27" s="325"/>
      <c r="DC27" s="320"/>
      <c r="DD27" s="324"/>
      <c r="DE27" s="324"/>
      <c r="DF27" s="320"/>
      <c r="DG27" s="324"/>
      <c r="DH27" s="324"/>
      <c r="DI27" s="320"/>
      <c r="DJ27" s="324"/>
      <c r="DK27" s="324"/>
      <c r="DL27" s="320"/>
      <c r="DM27" s="324"/>
      <c r="DN27" s="325"/>
      <c r="DO27" s="320"/>
      <c r="DP27" s="324"/>
      <c r="DQ27" s="324"/>
      <c r="DR27" s="320"/>
      <c r="DS27" s="324"/>
      <c r="DT27" s="324"/>
      <c r="DU27" s="320"/>
      <c r="DV27" s="324"/>
      <c r="DW27" s="325"/>
      <c r="DX27" s="320"/>
      <c r="DY27" s="324"/>
      <c r="DZ27" s="324"/>
      <c r="EA27" s="630">
        <f>+C27+F27+I27+L27+O27+R27+U27+X27+AA27+AD27+AG27+AJ27+AM27+AP27+AS27+AV27+AY27+BB27+BE27+BH27+BK27+BN27+BQ27+BT27+BW27+BZ27+CC27+CF27+CI27+CL27+CO27+CR27+CU27+CX27+DA27+DD27+DG27+DJ27+DM27+DP27+DS27+DV27+DY27+'Chorus Champs'!C27+'Chorus Champs'!F27+'Chorus Champs'!I27</f>
        <v>12.9816</v>
      </c>
      <c r="EB27" s="475">
        <v>20</v>
      </c>
      <c r="EC27" s="630">
        <f t="shared" si="0"/>
        <v>0.64910000000000001</v>
      </c>
      <c r="ED27" s="475">
        <f>+D27+G27+J27+M27+P27+S27+V27+Y27+AB27+AE27+AH27+AK27+AN27+AQ27+AT27+AW27+AZ27+BC27+BF27+BI27+BL27+BO27+BR27+BU27+BX27+CA27+CD27+CG27+CJ27+CM27+CP27+CS27+CV27+CY27+DB27+DE27+DH27+DK27+DN27+DQ27+DT27+DW27+DZ27+'Chorus Champs'!D27+'Chorus Champs'!G27+'Chorus Champs'!J27</f>
        <v>851</v>
      </c>
      <c r="EE27" s="475">
        <f t="shared" si="1"/>
        <v>43</v>
      </c>
    </row>
    <row r="28" spans="1:135" s="294" customFormat="1" ht="18" customHeight="1" x14ac:dyDescent="0.2">
      <c r="A28" s="288">
        <v>1997</v>
      </c>
      <c r="B28" s="284" t="s">
        <v>3887</v>
      </c>
      <c r="C28" s="627">
        <v>0.66110000000000002</v>
      </c>
      <c r="D28" s="325">
        <v>91</v>
      </c>
      <c r="E28" s="320" t="s">
        <v>1803</v>
      </c>
      <c r="F28" s="627">
        <v>0.65390000000000004</v>
      </c>
      <c r="G28" s="325">
        <v>34</v>
      </c>
      <c r="H28" s="320" t="s">
        <v>1781</v>
      </c>
      <c r="I28" s="627">
        <v>0.65059999999999996</v>
      </c>
      <c r="J28" s="287">
        <v>40</v>
      </c>
      <c r="K28" s="320" t="s">
        <v>3888</v>
      </c>
      <c r="L28" s="627">
        <v>0.64439999999999997</v>
      </c>
      <c r="M28" s="325">
        <v>55</v>
      </c>
      <c r="N28" s="320" t="s">
        <v>1802</v>
      </c>
      <c r="O28" s="627">
        <v>0.63219999999999998</v>
      </c>
      <c r="P28" s="325">
        <v>42</v>
      </c>
      <c r="Q28" s="320" t="s">
        <v>2389</v>
      </c>
      <c r="R28" s="627">
        <v>0.62609999999999999</v>
      </c>
      <c r="S28" s="325">
        <v>34</v>
      </c>
      <c r="T28" s="320" t="s">
        <v>3889</v>
      </c>
      <c r="U28" s="627">
        <v>0.61780000000000002</v>
      </c>
      <c r="V28" s="325">
        <v>47</v>
      </c>
      <c r="W28" s="320" t="s">
        <v>92</v>
      </c>
      <c r="X28" s="627">
        <v>0.55889999999999995</v>
      </c>
      <c r="Y28" s="325">
        <v>47</v>
      </c>
      <c r="Z28" s="320" t="s">
        <v>2397</v>
      </c>
      <c r="AA28" s="627">
        <v>0.55279999999999996</v>
      </c>
      <c r="AB28" s="325">
        <v>22</v>
      </c>
      <c r="AC28" s="320" t="s">
        <v>93</v>
      </c>
      <c r="AD28" s="627">
        <v>0.54559999999999997</v>
      </c>
      <c r="AE28" s="325">
        <v>46</v>
      </c>
      <c r="AF28" s="320" t="s">
        <v>94</v>
      </c>
      <c r="AG28" s="627">
        <v>0.53559999999999997</v>
      </c>
      <c r="AH28" s="325">
        <v>40</v>
      </c>
      <c r="AI28" s="320" t="s">
        <v>95</v>
      </c>
      <c r="AJ28" s="627">
        <v>0.53559999999999997</v>
      </c>
      <c r="AK28" s="325">
        <v>32</v>
      </c>
      <c r="AL28" s="320" t="s">
        <v>96</v>
      </c>
      <c r="AM28" s="627">
        <v>0.52939999999999998</v>
      </c>
      <c r="AN28" s="325">
        <v>25</v>
      </c>
      <c r="AO28" s="320" t="s">
        <v>97</v>
      </c>
      <c r="AP28" s="627">
        <v>0.52890000000000004</v>
      </c>
      <c r="AQ28" s="325">
        <v>32</v>
      </c>
      <c r="AR28" s="320" t="s">
        <v>98</v>
      </c>
      <c r="AS28" s="627">
        <v>0.50670000000000004</v>
      </c>
      <c r="AT28" s="325">
        <v>41</v>
      </c>
      <c r="AU28" s="320" t="s">
        <v>99</v>
      </c>
      <c r="AV28" s="627">
        <v>0.48</v>
      </c>
      <c r="AW28" s="325">
        <v>24</v>
      </c>
      <c r="AX28" s="320" t="s">
        <v>100</v>
      </c>
      <c r="AY28" s="627">
        <v>0.46110000000000001</v>
      </c>
      <c r="AZ28" s="325">
        <v>15</v>
      </c>
      <c r="BA28" s="320"/>
      <c r="BB28" s="627"/>
      <c r="BC28" s="325"/>
      <c r="BD28" s="320"/>
      <c r="BE28" s="324"/>
      <c r="BF28" s="325"/>
      <c r="BG28" s="320"/>
      <c r="BH28" s="627"/>
      <c r="BI28" s="325"/>
      <c r="BJ28" s="320"/>
      <c r="BK28" s="324"/>
      <c r="BL28" s="325"/>
      <c r="BM28" s="320"/>
      <c r="BN28" s="324"/>
      <c r="BO28" s="325"/>
      <c r="BP28" s="320"/>
      <c r="BQ28" s="324"/>
      <c r="BR28" s="325"/>
      <c r="BS28" s="320"/>
      <c r="BT28" s="324"/>
      <c r="BU28" s="325"/>
      <c r="BV28" s="320"/>
      <c r="BW28" s="324"/>
      <c r="BX28" s="325"/>
      <c r="BY28" s="320"/>
      <c r="BZ28" s="324"/>
      <c r="CA28" s="325"/>
      <c r="CB28" s="320"/>
      <c r="CC28" s="324"/>
      <c r="CD28" s="325"/>
      <c r="CE28" s="320"/>
      <c r="CF28" s="324"/>
      <c r="CG28" s="325"/>
      <c r="CH28" s="320"/>
      <c r="CI28" s="324"/>
      <c r="CJ28" s="325"/>
      <c r="CK28" s="320"/>
      <c r="CL28" s="324"/>
      <c r="CM28" s="325"/>
      <c r="CN28" s="320"/>
      <c r="CO28" s="324"/>
      <c r="CP28" s="325"/>
      <c r="CQ28" s="320"/>
      <c r="CR28" s="324"/>
      <c r="CS28" s="325"/>
      <c r="CT28" s="320"/>
      <c r="CU28" s="324"/>
      <c r="CV28" s="325"/>
      <c r="CW28" s="320"/>
      <c r="CX28" s="324"/>
      <c r="CY28" s="325"/>
      <c r="CZ28" s="320"/>
      <c r="DA28" s="324"/>
      <c r="DB28" s="325"/>
      <c r="DC28" s="320"/>
      <c r="DD28" s="324"/>
      <c r="DE28" s="324"/>
      <c r="DF28" s="320"/>
      <c r="DG28" s="324"/>
      <c r="DH28" s="324"/>
      <c r="DI28" s="320"/>
      <c r="DJ28" s="324"/>
      <c r="DK28" s="324"/>
      <c r="DL28" s="320"/>
      <c r="DM28" s="324"/>
      <c r="DN28" s="325"/>
      <c r="DO28" s="320"/>
      <c r="DP28" s="324"/>
      <c r="DQ28" s="324"/>
      <c r="DR28" s="320"/>
      <c r="DS28" s="324"/>
      <c r="DT28" s="324"/>
      <c r="DU28" s="320"/>
      <c r="DV28" s="324"/>
      <c r="DW28" s="325"/>
      <c r="DX28" s="320"/>
      <c r="DY28" s="324"/>
      <c r="DZ28" s="324"/>
      <c r="EA28" s="630">
        <f>+C28+F28+I28+L28+O28+R28+U28+X28+AA28+AD28+AG28+AJ28+AM28+AP28+AS28+AV28+AY28+BB28+BE28+BH28+BK28+BN28+BQ28+BT28+BW28+BZ28+CC28+CF28+CI28+CL28+CO28+CR28+CU28+CX28+DA28+DD28+DG28+DJ28+DM28+DP28+DS28+DV28+DY28+'Chorus Champs'!C28+'Chorus Champs'!F28+'Chorus Champs'!I28</f>
        <v>11.987399999999999</v>
      </c>
      <c r="EB28" s="475">
        <v>20</v>
      </c>
      <c r="EC28" s="630">
        <f t="shared" si="0"/>
        <v>0.59940000000000004</v>
      </c>
      <c r="ED28" s="475">
        <f>+D28+G28+J28+M28+P28+S28+V28+Y28+AB28+AE28+AH28+AK28+AN28+AQ28+AT28+AW28+AZ28+BC28+BF28+BI28+BL28+BO28+BR28+BU28+BX28+CA28+CD28+CG28+CJ28+CM28+CP28+CS28+CV28+CY28+DB28+DE28+DH28+DK28+DN28+DQ28+DT28+DW28+DZ28+'Chorus Champs'!D28+'Chorus Champs'!G28+'Chorus Champs'!J28</f>
        <v>838</v>
      </c>
      <c r="EE28" s="475">
        <f t="shared" si="1"/>
        <v>42</v>
      </c>
    </row>
    <row r="29" spans="1:135" s="294" customFormat="1" ht="18" customHeight="1" x14ac:dyDescent="0.2">
      <c r="A29" s="288">
        <v>1998</v>
      </c>
      <c r="B29" s="284" t="s">
        <v>101</v>
      </c>
      <c r="C29" s="627">
        <v>0.68610000000000004</v>
      </c>
      <c r="D29" s="325">
        <v>77</v>
      </c>
      <c r="E29" s="320" t="s">
        <v>1797</v>
      </c>
      <c r="F29" s="627">
        <v>0.67330000000000001</v>
      </c>
      <c r="G29" s="325">
        <v>42</v>
      </c>
      <c r="H29" s="320" t="s">
        <v>1802</v>
      </c>
      <c r="I29" s="627">
        <v>0.67110000000000003</v>
      </c>
      <c r="J29" s="287">
        <v>38</v>
      </c>
      <c r="K29" s="320" t="s">
        <v>1803</v>
      </c>
      <c r="L29" s="627">
        <v>0.66720000000000002</v>
      </c>
      <c r="M29" s="325">
        <v>46</v>
      </c>
      <c r="N29" s="320" t="s">
        <v>3888</v>
      </c>
      <c r="O29" s="627">
        <v>0.66110000000000002</v>
      </c>
      <c r="P29" s="325">
        <v>51</v>
      </c>
      <c r="Q29" s="320" t="s">
        <v>3889</v>
      </c>
      <c r="R29" s="627">
        <v>0.64610000000000001</v>
      </c>
      <c r="S29" s="325">
        <v>56</v>
      </c>
      <c r="T29" s="320" t="s">
        <v>1781</v>
      </c>
      <c r="U29" s="627">
        <v>0.64610000000000001</v>
      </c>
      <c r="V29" s="325">
        <v>42</v>
      </c>
      <c r="W29" s="320" t="s">
        <v>3615</v>
      </c>
      <c r="X29" s="627">
        <v>0.63500000000000001</v>
      </c>
      <c r="Y29" s="325">
        <v>32</v>
      </c>
      <c r="Z29" s="320" t="s">
        <v>1782</v>
      </c>
      <c r="AA29" s="627">
        <v>0.625</v>
      </c>
      <c r="AB29" s="325">
        <v>12</v>
      </c>
      <c r="AC29" s="320" t="s">
        <v>2001</v>
      </c>
      <c r="AD29" s="627">
        <v>0.62439999999999996</v>
      </c>
      <c r="AE29" s="325">
        <v>48</v>
      </c>
      <c r="AF29" s="320" t="s">
        <v>102</v>
      </c>
      <c r="AG29" s="627">
        <v>0.59440000000000004</v>
      </c>
      <c r="AH29" s="325">
        <v>25</v>
      </c>
      <c r="AI29" s="320" t="s">
        <v>94</v>
      </c>
      <c r="AJ29" s="627">
        <v>0.58220000000000005</v>
      </c>
      <c r="AK29" s="325">
        <v>41</v>
      </c>
      <c r="AL29" s="320" t="s">
        <v>92</v>
      </c>
      <c r="AM29" s="627">
        <v>0.57940000000000003</v>
      </c>
      <c r="AN29" s="325">
        <v>47</v>
      </c>
      <c r="AO29" s="320" t="s">
        <v>103</v>
      </c>
      <c r="AP29" s="627">
        <v>0.57169999999999999</v>
      </c>
      <c r="AQ29" s="325">
        <v>25</v>
      </c>
      <c r="AR29" s="320" t="s">
        <v>104</v>
      </c>
      <c r="AS29" s="627">
        <v>0.56499999999999995</v>
      </c>
      <c r="AT29" s="325">
        <v>25</v>
      </c>
      <c r="AU29" s="320" t="s">
        <v>1990</v>
      </c>
      <c r="AV29" s="627">
        <v>0.54500000000000004</v>
      </c>
      <c r="AW29" s="325">
        <v>26</v>
      </c>
      <c r="AX29" s="320" t="s">
        <v>2397</v>
      </c>
      <c r="AY29" s="627">
        <v>0.54390000000000005</v>
      </c>
      <c r="AZ29" s="325">
        <v>21</v>
      </c>
      <c r="BA29" s="320"/>
      <c r="BB29" s="627"/>
      <c r="BC29" s="325"/>
      <c r="BD29" s="320"/>
      <c r="BE29" s="324"/>
      <c r="BF29" s="325"/>
      <c r="BG29" s="320"/>
      <c r="BH29" s="627"/>
      <c r="BI29" s="325"/>
      <c r="BJ29" s="320"/>
      <c r="BK29" s="324"/>
      <c r="BL29" s="325"/>
      <c r="BM29" s="320"/>
      <c r="BN29" s="324"/>
      <c r="BO29" s="325"/>
      <c r="BP29" s="320"/>
      <c r="BQ29" s="324"/>
      <c r="BR29" s="325"/>
      <c r="BS29" s="320"/>
      <c r="BT29" s="324"/>
      <c r="BU29" s="325"/>
      <c r="BV29" s="320"/>
      <c r="BW29" s="324"/>
      <c r="BX29" s="325"/>
      <c r="BY29" s="320"/>
      <c r="BZ29" s="324"/>
      <c r="CA29" s="325"/>
      <c r="CB29" s="320"/>
      <c r="CC29" s="324"/>
      <c r="CD29" s="325"/>
      <c r="CE29" s="320"/>
      <c r="CF29" s="324"/>
      <c r="CG29" s="325"/>
      <c r="CH29" s="320"/>
      <c r="CI29" s="324"/>
      <c r="CJ29" s="325"/>
      <c r="CK29" s="320"/>
      <c r="CL29" s="324"/>
      <c r="CM29" s="325"/>
      <c r="CN29" s="320"/>
      <c r="CO29" s="324"/>
      <c r="CP29" s="325"/>
      <c r="CQ29" s="320"/>
      <c r="CR29" s="324"/>
      <c r="CS29" s="325"/>
      <c r="CT29" s="320"/>
      <c r="CU29" s="324"/>
      <c r="CV29" s="325"/>
      <c r="CW29" s="320"/>
      <c r="CX29" s="324"/>
      <c r="CY29" s="325"/>
      <c r="CZ29" s="320"/>
      <c r="DA29" s="324"/>
      <c r="DB29" s="325"/>
      <c r="DC29" s="320"/>
      <c r="DD29" s="324"/>
      <c r="DE29" s="324"/>
      <c r="DF29" s="320"/>
      <c r="DG29" s="324"/>
      <c r="DH29" s="324"/>
      <c r="DI29" s="320"/>
      <c r="DJ29" s="324"/>
      <c r="DK29" s="324"/>
      <c r="DL29" s="320"/>
      <c r="DM29" s="324"/>
      <c r="DN29" s="325"/>
      <c r="DO29" s="320"/>
      <c r="DP29" s="324"/>
      <c r="DQ29" s="324"/>
      <c r="DR29" s="320"/>
      <c r="DS29" s="324"/>
      <c r="DT29" s="324"/>
      <c r="DU29" s="320"/>
      <c r="DV29" s="324"/>
      <c r="DW29" s="325"/>
      <c r="DX29" s="320"/>
      <c r="DY29" s="324"/>
      <c r="DZ29" s="324"/>
      <c r="EA29" s="630">
        <f>+C29+F29+I29+L29+O29+R29+U29+X29+AA29+AD29+AG29+AJ29+AM29+AP29+AS29+AV29+AY29+BB29+BE29+BH29+BK29+BN29+BQ29+BT29+BW29+BZ29+CC29+CF29+CI29+CL29+CO29+CR29+CU29+CX29+DA29+DD29+DG29+DJ29+DM29+DP29+DS29+DV29+DY29+'Chorus Champs'!C29+'Chorus Champs'!F29+'Chorus Champs'!I29</f>
        <v>12.773</v>
      </c>
      <c r="EB29" s="475">
        <v>20</v>
      </c>
      <c r="EC29" s="630">
        <f t="shared" si="0"/>
        <v>0.63870000000000005</v>
      </c>
      <c r="ED29" s="475">
        <f>+D29+G29+J29+M29+P29+S29+V29+Y29+AB29+AE29+AH29+AK29+AN29+AQ29+AT29+AW29+AZ29+BC29+BF29+BI29+BL29+BO29+BR29+BU29+BX29+CA29+CD29+CG29+CJ29+CM29+CP29+CS29+CV29+CY29+DB29+DE29+DH29+DK29+DN29+DQ29+DT29+DW29+DZ29+'Chorus Champs'!D29+'Chorus Champs'!G29+'Chorus Champs'!J29</f>
        <v>812</v>
      </c>
      <c r="EE29" s="475">
        <f t="shared" si="1"/>
        <v>41</v>
      </c>
    </row>
    <row r="30" spans="1:135" s="294" customFormat="1" ht="18" customHeight="1" x14ac:dyDescent="0.2">
      <c r="A30" s="288">
        <v>1999</v>
      </c>
      <c r="B30" s="284" t="s">
        <v>105</v>
      </c>
      <c r="C30" s="627">
        <v>0.73580000000000001</v>
      </c>
      <c r="D30" s="325">
        <v>67</v>
      </c>
      <c r="E30" s="320" t="s">
        <v>106</v>
      </c>
      <c r="F30" s="627">
        <v>0.66579999999999995</v>
      </c>
      <c r="G30" s="325">
        <v>60</v>
      </c>
      <c r="H30" s="320" t="s">
        <v>107</v>
      </c>
      <c r="I30" s="627">
        <v>0.66210000000000002</v>
      </c>
      <c r="J30" s="287">
        <v>54</v>
      </c>
      <c r="K30" s="320" t="s">
        <v>1802</v>
      </c>
      <c r="L30" s="627">
        <v>0.65500000000000003</v>
      </c>
      <c r="M30" s="325">
        <v>31</v>
      </c>
      <c r="N30" s="320" t="s">
        <v>1803</v>
      </c>
      <c r="O30" s="627">
        <v>0.62960000000000005</v>
      </c>
      <c r="P30" s="325">
        <v>46</v>
      </c>
      <c r="Q30" s="320" t="s">
        <v>108</v>
      </c>
      <c r="R30" s="627">
        <v>0.62960000000000005</v>
      </c>
      <c r="S30" s="325">
        <v>31</v>
      </c>
      <c r="T30" s="320" t="s">
        <v>2324</v>
      </c>
      <c r="U30" s="627">
        <v>0.62790000000000001</v>
      </c>
      <c r="V30" s="325">
        <v>25</v>
      </c>
      <c r="W30" s="320" t="s">
        <v>3888</v>
      </c>
      <c r="X30" s="627">
        <v>0.61960000000000004</v>
      </c>
      <c r="Y30" s="325">
        <v>31</v>
      </c>
      <c r="Z30" s="320" t="s">
        <v>1797</v>
      </c>
      <c r="AA30" s="627">
        <v>0.6179</v>
      </c>
      <c r="AB30" s="325">
        <v>40</v>
      </c>
      <c r="AC30" s="320" t="s">
        <v>1781</v>
      </c>
      <c r="AD30" s="627">
        <v>0.61670000000000003</v>
      </c>
      <c r="AE30" s="325">
        <v>34</v>
      </c>
      <c r="AF30" s="320" t="s">
        <v>109</v>
      </c>
      <c r="AG30" s="627">
        <v>0.60540000000000005</v>
      </c>
      <c r="AH30" s="325">
        <v>27</v>
      </c>
      <c r="AI30" s="320" t="s">
        <v>93</v>
      </c>
      <c r="AJ30" s="627">
        <v>0.60250000000000004</v>
      </c>
      <c r="AK30" s="325">
        <v>44</v>
      </c>
      <c r="AL30" s="320" t="s">
        <v>110</v>
      </c>
      <c r="AM30" s="627">
        <v>0.5958</v>
      </c>
      <c r="AN30" s="325">
        <v>39</v>
      </c>
      <c r="AO30" s="320" t="s">
        <v>3892</v>
      </c>
      <c r="AP30" s="627">
        <v>0.58330000000000004</v>
      </c>
      <c r="AQ30" s="325">
        <v>22</v>
      </c>
      <c r="AR30" s="320" t="s">
        <v>3805</v>
      </c>
      <c r="AS30" s="627">
        <v>0.57999999999999996</v>
      </c>
      <c r="AT30" s="325">
        <v>29</v>
      </c>
      <c r="AU30" s="320" t="s">
        <v>3893</v>
      </c>
      <c r="AV30" s="627">
        <v>0.57789999999999997</v>
      </c>
      <c r="AW30" s="325">
        <v>36</v>
      </c>
      <c r="AX30" s="320" t="s">
        <v>3894</v>
      </c>
      <c r="AY30" s="627">
        <v>0.57169999999999999</v>
      </c>
      <c r="AZ30" s="325">
        <v>38</v>
      </c>
      <c r="BA30" s="320" t="s">
        <v>1773</v>
      </c>
      <c r="BB30" s="627">
        <f>1317/2400</f>
        <v>0.54879999999999995</v>
      </c>
      <c r="BC30" s="325">
        <v>26</v>
      </c>
      <c r="BD30" s="320" t="s">
        <v>3895</v>
      </c>
      <c r="BE30" s="627">
        <v>0.53500000000000003</v>
      </c>
      <c r="BF30" s="325">
        <v>32</v>
      </c>
      <c r="BG30" s="320" t="s">
        <v>4199</v>
      </c>
      <c r="BH30" s="627">
        <f>1274/2400</f>
        <v>0.53080000000000005</v>
      </c>
      <c r="BI30" s="325">
        <v>20</v>
      </c>
      <c r="BJ30" s="320" t="s">
        <v>3896</v>
      </c>
      <c r="BK30" s="627">
        <v>0.52669999999999995</v>
      </c>
      <c r="BL30" s="325">
        <v>29</v>
      </c>
      <c r="BM30" s="320" t="s">
        <v>3897</v>
      </c>
      <c r="BN30" s="627">
        <v>0.51829999999999998</v>
      </c>
      <c r="BO30" s="325">
        <v>15</v>
      </c>
      <c r="BP30" s="320" t="s">
        <v>3898</v>
      </c>
      <c r="BQ30" s="627">
        <v>0.51539999999999997</v>
      </c>
      <c r="BR30" s="325">
        <v>16</v>
      </c>
      <c r="BS30" s="320" t="s">
        <v>1804</v>
      </c>
      <c r="BT30" s="627">
        <v>0.51419999999999999</v>
      </c>
      <c r="BU30" s="325">
        <v>22</v>
      </c>
      <c r="BV30" s="320" t="s">
        <v>3899</v>
      </c>
      <c r="BW30" s="627">
        <v>0.51080000000000003</v>
      </c>
      <c r="BX30" s="325">
        <v>28</v>
      </c>
      <c r="BY30" s="320" t="s">
        <v>373</v>
      </c>
      <c r="BZ30" s="627">
        <v>0.50829999999999997</v>
      </c>
      <c r="CA30" s="325">
        <v>22</v>
      </c>
      <c r="CB30" s="320" t="s">
        <v>383</v>
      </c>
      <c r="CC30" s="627">
        <v>0.50790000000000002</v>
      </c>
      <c r="CD30" s="325">
        <v>21</v>
      </c>
      <c r="CE30" s="320" t="s">
        <v>1842</v>
      </c>
      <c r="CF30" s="627">
        <v>0.50080000000000002</v>
      </c>
      <c r="CG30" s="325">
        <v>27</v>
      </c>
      <c r="CH30" s="320" t="s">
        <v>381</v>
      </c>
      <c r="CI30" s="627">
        <v>0.49330000000000002</v>
      </c>
      <c r="CJ30" s="325">
        <v>19</v>
      </c>
      <c r="CK30" s="320" t="s">
        <v>382</v>
      </c>
      <c r="CL30" s="627">
        <v>0.4929</v>
      </c>
      <c r="CM30" s="325">
        <v>18</v>
      </c>
      <c r="CN30" s="320" t="s">
        <v>375</v>
      </c>
      <c r="CO30" s="627">
        <v>0.48920000000000002</v>
      </c>
      <c r="CP30" s="325">
        <v>22</v>
      </c>
      <c r="CQ30" s="320" t="s">
        <v>379</v>
      </c>
      <c r="CR30" s="627">
        <f>1169/2400</f>
        <v>0.48709999999999998</v>
      </c>
      <c r="CS30" s="325">
        <v>22</v>
      </c>
      <c r="CT30" s="320" t="s">
        <v>380</v>
      </c>
      <c r="CU30" s="627">
        <v>0.48</v>
      </c>
      <c r="CV30" s="325">
        <v>18</v>
      </c>
      <c r="CW30" s="320" t="s">
        <v>377</v>
      </c>
      <c r="CX30" s="627">
        <v>0.46</v>
      </c>
      <c r="CY30" s="325">
        <v>21</v>
      </c>
      <c r="CZ30" s="320" t="s">
        <v>378</v>
      </c>
      <c r="DA30" s="627">
        <v>0.44500000000000001</v>
      </c>
      <c r="DB30" s="325">
        <v>17</v>
      </c>
      <c r="DC30" s="320" t="s">
        <v>376</v>
      </c>
      <c r="DD30" s="627">
        <v>0.28460000000000002</v>
      </c>
      <c r="DE30" s="324">
        <v>20</v>
      </c>
      <c r="DF30" s="320"/>
      <c r="DG30" s="324"/>
      <c r="DH30" s="324"/>
      <c r="DI30" s="320"/>
      <c r="DJ30" s="324"/>
      <c r="DK30" s="324"/>
      <c r="DL30" s="320"/>
      <c r="DM30" s="324"/>
      <c r="DN30" s="325"/>
      <c r="DO30" s="320"/>
      <c r="DP30" s="324"/>
      <c r="DQ30" s="324"/>
      <c r="DR30" s="320"/>
      <c r="DS30" s="324"/>
      <c r="DT30" s="324"/>
      <c r="DU30" s="320"/>
      <c r="DV30" s="324"/>
      <c r="DW30" s="325"/>
      <c r="DX30" s="320"/>
      <c r="DY30" s="324"/>
      <c r="DZ30" s="324"/>
      <c r="EA30" s="630">
        <f>+C30+F30+I30+L30+O30+R30+U30+X30+AA30+AD30+AG30+AJ30+AM30+AP30+AS30+AV30+AY30+BB30+BE30+BH30+BK30+BN30+BQ30+BT30+BW30+BZ30+CC30+CF30+CI30+CL30+CO30+CR30+CU30+CX30+DA30+DD30+DG30+DJ30+DM30+DP30+DS30+DV30+DY30+'Chorus Champs'!C30+'Chorus Champs'!F30+'Chorus Champs'!I30</f>
        <v>22.247</v>
      </c>
      <c r="EB30" s="475">
        <v>39</v>
      </c>
      <c r="EC30" s="630">
        <f t="shared" si="0"/>
        <v>0.57040000000000002</v>
      </c>
      <c r="ED30" s="475">
        <f>+D30+G30+J30+M30+P30+S30+V30+Y30+AB30+AE30+AH30+AK30+AN30+AQ30+AT30+AW30+AZ30+BC30+BF30+BI30+BL30+BO30+BR30+BU30+BX30+CA30+CD30+CG30+CJ30+CM30+CP30+CS30+CV30+CY30+DB30+DE30+DH30+DK30+DN30+DQ30+DT30+DW30+DZ30+'Chorus Champs'!D30+'Chorus Champs'!G30+'Chorus Champs'!J30</f>
        <v>1235</v>
      </c>
      <c r="EE30" s="475">
        <f t="shared" si="1"/>
        <v>32</v>
      </c>
    </row>
    <row r="31" spans="1:135" s="294" customFormat="1" ht="18" customHeight="1" x14ac:dyDescent="0.2">
      <c r="A31" s="288">
        <v>2000</v>
      </c>
      <c r="B31" s="284" t="s">
        <v>107</v>
      </c>
      <c r="C31" s="627">
        <v>0.69630000000000003</v>
      </c>
      <c r="D31" s="325">
        <v>56</v>
      </c>
      <c r="E31" s="320" t="s">
        <v>1843</v>
      </c>
      <c r="F31" s="627">
        <v>0.63039999999999996</v>
      </c>
      <c r="G31" s="325">
        <v>61</v>
      </c>
      <c r="H31" s="320" t="s">
        <v>1844</v>
      </c>
      <c r="I31" s="627">
        <v>0.61419999999999997</v>
      </c>
      <c r="J31" s="287">
        <v>57</v>
      </c>
      <c r="K31" s="320" t="s">
        <v>1803</v>
      </c>
      <c r="L31" s="627">
        <v>0.61080000000000001</v>
      </c>
      <c r="M31" s="325">
        <v>34</v>
      </c>
      <c r="N31" s="320" t="s">
        <v>93</v>
      </c>
      <c r="O31" s="627">
        <v>0.60170000000000001</v>
      </c>
      <c r="P31" s="325">
        <v>46</v>
      </c>
      <c r="Q31" s="320" t="s">
        <v>3805</v>
      </c>
      <c r="R31" s="627">
        <v>0.58130000000000004</v>
      </c>
      <c r="S31" s="325">
        <v>33</v>
      </c>
      <c r="T31" s="320" t="s">
        <v>92</v>
      </c>
      <c r="U31" s="627">
        <v>0.5746</v>
      </c>
      <c r="V31" s="325">
        <v>42</v>
      </c>
      <c r="W31" s="320" t="s">
        <v>1845</v>
      </c>
      <c r="X31" s="627">
        <v>0.56079999999999997</v>
      </c>
      <c r="Y31" s="325">
        <v>37</v>
      </c>
      <c r="Z31" s="320" t="s">
        <v>1846</v>
      </c>
      <c r="AA31" s="627">
        <f>1317/2400</f>
        <v>0.54879999999999995</v>
      </c>
      <c r="AB31" s="325">
        <v>24</v>
      </c>
      <c r="AC31" s="320" t="s">
        <v>1847</v>
      </c>
      <c r="AD31" s="627">
        <v>0.54290000000000005</v>
      </c>
      <c r="AE31" s="325">
        <v>31</v>
      </c>
      <c r="AF31" s="320" t="s">
        <v>4199</v>
      </c>
      <c r="AG31" s="627">
        <f>1301/2400</f>
        <v>0.54210000000000003</v>
      </c>
      <c r="AH31" s="325">
        <v>19</v>
      </c>
      <c r="AI31" s="320" t="s">
        <v>1848</v>
      </c>
      <c r="AJ31" s="627">
        <v>0.52959999999999996</v>
      </c>
      <c r="AK31" s="325">
        <v>33</v>
      </c>
      <c r="AL31" s="320" t="s">
        <v>1849</v>
      </c>
      <c r="AM31" s="627">
        <f>1251/2400</f>
        <v>0.52129999999999999</v>
      </c>
      <c r="AN31" s="325">
        <v>25</v>
      </c>
      <c r="AO31" s="320" t="s">
        <v>3892</v>
      </c>
      <c r="AP31" s="627">
        <v>0.51670000000000005</v>
      </c>
      <c r="AQ31" s="325">
        <v>21</v>
      </c>
      <c r="AR31" s="320" t="s">
        <v>1850</v>
      </c>
      <c r="AS31" s="627">
        <v>0.51290000000000002</v>
      </c>
      <c r="AT31" s="325">
        <v>30</v>
      </c>
      <c r="AU31" s="320" t="s">
        <v>4187</v>
      </c>
      <c r="AV31" s="627">
        <f>1158/1800</f>
        <v>0.64329999999999998</v>
      </c>
      <c r="AW31" s="325">
        <v>24</v>
      </c>
      <c r="AX31" s="320" t="s">
        <v>4188</v>
      </c>
      <c r="AY31" s="627"/>
      <c r="AZ31" s="325">
        <v>19</v>
      </c>
      <c r="BA31" s="320"/>
      <c r="BB31" s="627"/>
      <c r="BC31" s="325"/>
      <c r="BD31" s="320"/>
      <c r="BE31" s="627"/>
      <c r="BF31" s="325"/>
      <c r="BG31" s="320"/>
      <c r="BH31" s="627"/>
      <c r="BI31" s="325"/>
      <c r="BJ31" s="320"/>
      <c r="BK31" s="627"/>
      <c r="BL31" s="325"/>
      <c r="BM31" s="320"/>
      <c r="BN31" s="627"/>
      <c r="BO31" s="325"/>
      <c r="BP31" s="320"/>
      <c r="BQ31" s="627"/>
      <c r="BR31" s="325"/>
      <c r="BS31" s="320"/>
      <c r="BT31" s="627"/>
      <c r="BU31" s="325"/>
      <c r="BV31" s="320"/>
      <c r="BW31" s="627"/>
      <c r="BX31" s="325"/>
      <c r="BY31" s="320"/>
      <c r="BZ31" s="627"/>
      <c r="CA31" s="325"/>
      <c r="CB31" s="320"/>
      <c r="CC31" s="627"/>
      <c r="CD31" s="325"/>
      <c r="CE31" s="320"/>
      <c r="CF31" s="627"/>
      <c r="CG31" s="325"/>
      <c r="CH31" s="320"/>
      <c r="CI31" s="627"/>
      <c r="CJ31" s="325"/>
      <c r="CK31" s="320"/>
      <c r="CL31" s="627"/>
      <c r="CM31" s="325"/>
      <c r="CN31" s="320"/>
      <c r="CO31" s="627"/>
      <c r="CP31" s="325"/>
      <c r="CQ31" s="320"/>
      <c r="CR31" s="627"/>
      <c r="CS31" s="325"/>
      <c r="CT31" s="320"/>
      <c r="CU31" s="627"/>
      <c r="CV31" s="325"/>
      <c r="CW31" s="320"/>
      <c r="CX31" s="627"/>
      <c r="CY31" s="325"/>
      <c r="CZ31" s="320"/>
      <c r="DA31" s="627"/>
      <c r="DB31" s="325"/>
      <c r="DC31" s="320"/>
      <c r="DD31" s="627"/>
      <c r="DE31" s="324"/>
      <c r="DF31" s="320"/>
      <c r="DG31" s="324"/>
      <c r="DH31" s="324"/>
      <c r="DI31" s="320"/>
      <c r="DJ31" s="324"/>
      <c r="DK31" s="324"/>
      <c r="DL31" s="320"/>
      <c r="DM31" s="324"/>
      <c r="DN31" s="325"/>
      <c r="DO31" s="320"/>
      <c r="DP31" s="324"/>
      <c r="DQ31" s="324"/>
      <c r="DR31" s="320"/>
      <c r="DS31" s="324"/>
      <c r="DT31" s="324"/>
      <c r="DU31" s="320"/>
      <c r="DV31" s="324"/>
      <c r="DW31" s="325"/>
      <c r="DX31" s="320"/>
      <c r="DY31" s="324"/>
      <c r="DZ31" s="324"/>
      <c r="EA31" s="630">
        <f>+C31+F31+I31+L31+O31+R31+U31+X31+AA31+AD31+AG31+AJ31+AM31+AP31+AS31+AV31+AY31+BB31+BE31+BH31+BK31+BN31+BQ31+BT31+BW31+BZ31+CC31+CF31+CI31+CL31+CO31+CR31+CU31+CX31+DA31+DD31+DG31+DJ31+DM31+DP31+DS31+DV31+DY31+'Chorus Champs'!C31+'Chorus Champs'!F31+'Chorus Champs'!I31</f>
        <v>11.4498</v>
      </c>
      <c r="EB31" s="475">
        <v>20</v>
      </c>
      <c r="EC31" s="630">
        <f t="shared" si="0"/>
        <v>0.57250000000000001</v>
      </c>
      <c r="ED31" s="475">
        <f>+D31+G31+J31+M31+P31+S31+V31+Y31+AB31+AE31+AH31+AK31+AN31+AQ31+AT31+AW31+AZ31+BC31+BF31+BI31+BL31+BO31+BR31+BU31+BX31+CA31+CD31+CG31+CJ31+CM31+CP31+CS31+CV31+CY31+DB31+DE31+DH31+DK31+DN31+DQ31+DT31+DW31+DZ31+'Chorus Champs'!D31+'Chorus Champs'!G31+'Chorus Champs'!J31</f>
        <v>784</v>
      </c>
      <c r="EE31" s="475">
        <f t="shared" si="1"/>
        <v>39</v>
      </c>
    </row>
    <row r="32" spans="1:135" s="294" customFormat="1" ht="18" customHeight="1" x14ac:dyDescent="0.2">
      <c r="A32" s="288">
        <v>2001</v>
      </c>
      <c r="B32" s="284" t="s">
        <v>4189</v>
      </c>
      <c r="C32" s="627">
        <v>0.70440000000000003</v>
      </c>
      <c r="D32" s="325">
        <v>71</v>
      </c>
      <c r="E32" s="320" t="s">
        <v>1803</v>
      </c>
      <c r="F32" s="627">
        <v>0.62719999999999998</v>
      </c>
      <c r="G32" s="325">
        <v>33</v>
      </c>
      <c r="H32" s="320" t="s">
        <v>4143</v>
      </c>
      <c r="I32" s="627">
        <v>0.61609999999999998</v>
      </c>
      <c r="J32" s="287">
        <v>42</v>
      </c>
      <c r="K32" s="320" t="s">
        <v>4190</v>
      </c>
      <c r="L32" s="627">
        <v>0.61060000000000003</v>
      </c>
      <c r="M32" s="325">
        <v>19</v>
      </c>
      <c r="N32" s="320" t="s">
        <v>3805</v>
      </c>
      <c r="O32" s="627">
        <v>0.60609999999999997</v>
      </c>
      <c r="P32" s="325">
        <v>37</v>
      </c>
      <c r="Q32" s="320" t="s">
        <v>1844</v>
      </c>
      <c r="R32" s="627">
        <v>0.60060000000000002</v>
      </c>
      <c r="S32" s="325">
        <v>38</v>
      </c>
      <c r="T32" s="320" t="s">
        <v>92</v>
      </c>
      <c r="U32" s="627">
        <v>0.59219999999999995</v>
      </c>
      <c r="V32" s="325">
        <v>44</v>
      </c>
      <c r="W32" s="320" t="s">
        <v>1845</v>
      </c>
      <c r="X32" s="627">
        <v>0.57110000000000005</v>
      </c>
      <c r="Y32" s="325">
        <v>34</v>
      </c>
      <c r="Z32" s="320" t="s">
        <v>93</v>
      </c>
      <c r="AA32" s="627">
        <v>0.5706</v>
      </c>
      <c r="AB32" s="325">
        <v>43</v>
      </c>
      <c r="AC32" s="320" t="s">
        <v>2324</v>
      </c>
      <c r="AD32" s="627">
        <v>0.56940000000000002</v>
      </c>
      <c r="AE32" s="325">
        <v>25</v>
      </c>
      <c r="AF32" s="320" t="s">
        <v>4199</v>
      </c>
      <c r="AG32" s="627">
        <v>0.56779999999999997</v>
      </c>
      <c r="AH32" s="325">
        <v>21</v>
      </c>
      <c r="AI32" s="320" t="s">
        <v>1849</v>
      </c>
      <c r="AJ32" s="627">
        <v>0.5544</v>
      </c>
      <c r="AK32" s="325">
        <v>18</v>
      </c>
      <c r="AL32" s="320" t="s">
        <v>4191</v>
      </c>
      <c r="AM32" s="627">
        <v>0.5222</v>
      </c>
      <c r="AN32" s="325">
        <v>28</v>
      </c>
      <c r="AO32" s="320" t="s">
        <v>4192</v>
      </c>
      <c r="AP32" s="627">
        <v>0.52170000000000005</v>
      </c>
      <c r="AQ32" s="325">
        <v>20</v>
      </c>
      <c r="AR32" s="320" t="s">
        <v>374</v>
      </c>
      <c r="AS32" s="627">
        <v>0.51500000000000001</v>
      </c>
      <c r="AT32" s="325">
        <v>17</v>
      </c>
      <c r="AU32" s="320" t="s">
        <v>4193</v>
      </c>
      <c r="AV32" s="627">
        <v>0.50560000000000005</v>
      </c>
      <c r="AW32" s="325">
        <v>31</v>
      </c>
      <c r="AX32" s="320" t="s">
        <v>1850</v>
      </c>
      <c r="AY32" s="627"/>
      <c r="AZ32" s="325">
        <v>28</v>
      </c>
      <c r="BA32" s="320"/>
      <c r="BB32" s="627"/>
      <c r="BC32" s="325"/>
      <c r="BD32" s="320"/>
      <c r="BE32" s="627"/>
      <c r="BF32" s="325"/>
      <c r="BG32" s="320"/>
      <c r="BH32" s="627"/>
      <c r="BI32" s="325"/>
      <c r="BJ32" s="320"/>
      <c r="BK32" s="627"/>
      <c r="BL32" s="325"/>
      <c r="BM32" s="320"/>
      <c r="BN32" s="627"/>
      <c r="BO32" s="325"/>
      <c r="BP32" s="320"/>
      <c r="BQ32" s="627"/>
      <c r="BR32" s="325"/>
      <c r="BS32" s="320"/>
      <c r="BT32" s="627"/>
      <c r="BU32" s="325"/>
      <c r="BV32" s="320"/>
      <c r="BW32" s="627"/>
      <c r="BX32" s="325"/>
      <c r="BY32" s="320"/>
      <c r="BZ32" s="627"/>
      <c r="CA32" s="325"/>
      <c r="CB32" s="320"/>
      <c r="CC32" s="627"/>
      <c r="CD32" s="325"/>
      <c r="CE32" s="320"/>
      <c r="CF32" s="627"/>
      <c r="CG32" s="325"/>
      <c r="CH32" s="320"/>
      <c r="CI32" s="627"/>
      <c r="CJ32" s="325"/>
      <c r="CK32" s="320"/>
      <c r="CL32" s="627"/>
      <c r="CM32" s="325"/>
      <c r="CN32" s="320"/>
      <c r="CO32" s="627"/>
      <c r="CP32" s="325"/>
      <c r="CQ32" s="320"/>
      <c r="CR32" s="627"/>
      <c r="CS32" s="325"/>
      <c r="CT32" s="320"/>
      <c r="CU32" s="627"/>
      <c r="CV32" s="325"/>
      <c r="CW32" s="320"/>
      <c r="CX32" s="627"/>
      <c r="CY32" s="325"/>
      <c r="CZ32" s="320"/>
      <c r="DA32" s="627"/>
      <c r="DB32" s="325"/>
      <c r="DC32" s="320"/>
      <c r="DD32" s="627"/>
      <c r="DE32" s="324"/>
      <c r="DF32" s="320"/>
      <c r="DG32" s="324"/>
      <c r="DH32" s="324"/>
      <c r="DI32" s="320"/>
      <c r="DJ32" s="324"/>
      <c r="DK32" s="324"/>
      <c r="DL32" s="320"/>
      <c r="DM32" s="324"/>
      <c r="DN32" s="325"/>
      <c r="DO32" s="320"/>
      <c r="DP32" s="324"/>
      <c r="DQ32" s="324"/>
      <c r="DR32" s="320"/>
      <c r="DS32" s="324"/>
      <c r="DT32" s="324"/>
      <c r="DU32" s="320"/>
      <c r="DV32" s="324"/>
      <c r="DW32" s="325"/>
      <c r="DX32" s="320"/>
      <c r="DY32" s="324"/>
      <c r="DZ32" s="324"/>
      <c r="EA32" s="630">
        <f>+C32+F32+I32+L32+O32+R32+U32+X32+AA32+AD32+AG32+AJ32+AM32+AP32+AS32+AV32+AY32+BB32+BE32+BH32+BK32+BN32+BQ32+BT32+BW32+BZ32+CC32+CF32+CI32+CL32+CO32+CR32+CU32+CX32+DA32+DD32+DG32+DJ32+DM32+DP32+DS32+DV32+DY32+'Chorus Champs'!C32+'Chorus Champs'!F32+'Chorus Champs'!I32</f>
        <v>11.488300000000001</v>
      </c>
      <c r="EB32" s="475">
        <v>20</v>
      </c>
      <c r="EC32" s="630">
        <f t="shared" si="0"/>
        <v>0.57440000000000002</v>
      </c>
      <c r="ED32" s="475">
        <f>+D32+G32+J32+M32+P32+S32+V32+Y32+AB32+AE32+AH32+AK32+AN32+AQ32+AT32+AW32+AZ32+BC32+BF32+BI32+BL32+BO32+BR32+BU32+BX32+CA32+CD32+CG32+CJ32+CM32+CP32+CS32+CV32+CY32+DB32+DE32+DH32+DK32+DN32+DQ32+DT32+DW32+DZ32+'Chorus Champs'!D32+'Chorus Champs'!G32+'Chorus Champs'!J32</f>
        <v>736</v>
      </c>
      <c r="EE32" s="475">
        <f t="shared" si="1"/>
        <v>37</v>
      </c>
    </row>
    <row r="33" spans="1:135" s="294" customFormat="1" ht="18" customHeight="1" x14ac:dyDescent="0.2">
      <c r="A33" s="288">
        <v>2002</v>
      </c>
      <c r="B33" s="284" t="s">
        <v>4194</v>
      </c>
      <c r="C33" s="627">
        <v>0.69330000000000003</v>
      </c>
      <c r="D33" s="325">
        <v>25</v>
      </c>
      <c r="E33" s="320" t="s">
        <v>534</v>
      </c>
      <c r="F33" s="627">
        <v>0.68720000000000003</v>
      </c>
      <c r="G33" s="325">
        <v>60</v>
      </c>
      <c r="H33" s="320" t="s">
        <v>535</v>
      </c>
      <c r="I33" s="627">
        <v>0.66610000000000003</v>
      </c>
      <c r="J33" s="287">
        <v>36</v>
      </c>
      <c r="K33" s="320" t="s">
        <v>4143</v>
      </c>
      <c r="L33" s="627">
        <v>0.6633</v>
      </c>
      <c r="M33" s="325">
        <v>43</v>
      </c>
      <c r="N33" s="320" t="s">
        <v>1803</v>
      </c>
      <c r="O33" s="627">
        <v>0.6411</v>
      </c>
      <c r="P33" s="325">
        <v>29</v>
      </c>
      <c r="Q33" s="320" t="s">
        <v>4193</v>
      </c>
      <c r="R33" s="627">
        <v>0.63670000000000004</v>
      </c>
      <c r="S33" s="325">
        <v>39</v>
      </c>
      <c r="T33" s="320" t="s">
        <v>2550</v>
      </c>
      <c r="U33" s="627">
        <v>0.63219999999999998</v>
      </c>
      <c r="V33" s="325">
        <v>22</v>
      </c>
      <c r="W33" s="320" t="s">
        <v>3805</v>
      </c>
      <c r="X33" s="627">
        <v>0.62329999999999997</v>
      </c>
      <c r="Y33" s="325">
        <v>47</v>
      </c>
      <c r="Z33" s="320" t="s">
        <v>4190</v>
      </c>
      <c r="AA33" s="627">
        <v>0.61829999999999996</v>
      </c>
      <c r="AB33" s="325">
        <v>30</v>
      </c>
      <c r="AC33" s="320" t="s">
        <v>1844</v>
      </c>
      <c r="AD33" s="627">
        <v>0.61829999999999996</v>
      </c>
      <c r="AE33" s="325">
        <v>51</v>
      </c>
      <c r="AF33" s="284" t="s">
        <v>2381</v>
      </c>
      <c r="AG33" s="627">
        <v>0.59889999999999999</v>
      </c>
      <c r="AH33" s="325">
        <v>46</v>
      </c>
      <c r="AI33" s="320" t="s">
        <v>2324</v>
      </c>
      <c r="AJ33" s="627">
        <v>0.58440000000000003</v>
      </c>
      <c r="AK33" s="325">
        <v>26</v>
      </c>
      <c r="AL33" s="320" t="s">
        <v>3893</v>
      </c>
      <c r="AM33" s="627">
        <v>0.58220000000000005</v>
      </c>
      <c r="AN33" s="325">
        <v>39</v>
      </c>
      <c r="AO33" s="320" t="s">
        <v>536</v>
      </c>
      <c r="AP33" s="627">
        <v>0.56110000000000004</v>
      </c>
      <c r="AQ33" s="325">
        <v>25</v>
      </c>
      <c r="AR33" s="320" t="s">
        <v>1845</v>
      </c>
      <c r="AS33" s="627">
        <v>0.56059999999999999</v>
      </c>
      <c r="AT33" s="325">
        <v>33</v>
      </c>
      <c r="AU33" s="320" t="s">
        <v>3074</v>
      </c>
      <c r="AV33" s="627">
        <v>0.56000000000000005</v>
      </c>
      <c r="AW33" s="325">
        <v>18</v>
      </c>
      <c r="AX33" s="320" t="s">
        <v>4224</v>
      </c>
      <c r="AY33" s="627"/>
      <c r="AZ33" s="325">
        <v>26</v>
      </c>
      <c r="BA33" s="320"/>
      <c r="BB33" s="627"/>
      <c r="BC33" s="325"/>
      <c r="BD33" s="320"/>
      <c r="BE33" s="627"/>
      <c r="BF33" s="325"/>
      <c r="BG33" s="320"/>
      <c r="BH33" s="627"/>
      <c r="BI33" s="325"/>
      <c r="BJ33" s="320"/>
      <c r="BK33" s="627"/>
      <c r="BL33" s="325"/>
      <c r="BM33" s="320"/>
      <c r="BN33" s="627"/>
      <c r="BO33" s="325"/>
      <c r="BP33" s="320"/>
      <c r="BQ33" s="627"/>
      <c r="BR33" s="325"/>
      <c r="BS33" s="320"/>
      <c r="BT33" s="627"/>
      <c r="BU33" s="325"/>
      <c r="BV33" s="320"/>
      <c r="BW33" s="627"/>
      <c r="BX33" s="325"/>
      <c r="BY33" s="320"/>
      <c r="BZ33" s="627"/>
      <c r="CA33" s="325"/>
      <c r="CB33" s="320"/>
      <c r="CC33" s="627"/>
      <c r="CD33" s="325"/>
      <c r="CE33" s="320"/>
      <c r="CF33" s="627"/>
      <c r="CG33" s="325"/>
      <c r="CH33" s="320"/>
      <c r="CI33" s="627"/>
      <c r="CJ33" s="325"/>
      <c r="CK33" s="320"/>
      <c r="CL33" s="627"/>
      <c r="CM33" s="325"/>
      <c r="CN33" s="320"/>
      <c r="CO33" s="627"/>
      <c r="CP33" s="325"/>
      <c r="CQ33" s="320"/>
      <c r="CR33" s="627"/>
      <c r="CS33" s="325"/>
      <c r="CT33" s="320"/>
      <c r="CU33" s="627"/>
      <c r="CV33" s="325"/>
      <c r="CW33" s="320"/>
      <c r="CX33" s="627"/>
      <c r="CY33" s="325"/>
      <c r="CZ33" s="320"/>
      <c r="DA33" s="627"/>
      <c r="DB33" s="325"/>
      <c r="DC33" s="320"/>
      <c r="DD33" s="627"/>
      <c r="DE33" s="324"/>
      <c r="DF33" s="320"/>
      <c r="DG33" s="324"/>
      <c r="DH33" s="324"/>
      <c r="DI33" s="320"/>
      <c r="DJ33" s="324"/>
      <c r="DK33" s="324"/>
      <c r="DL33" s="320"/>
      <c r="DM33" s="324"/>
      <c r="DN33" s="325"/>
      <c r="DO33" s="320"/>
      <c r="DP33" s="324"/>
      <c r="DQ33" s="324"/>
      <c r="DR33" s="320"/>
      <c r="DS33" s="324"/>
      <c r="DT33" s="324"/>
      <c r="DU33" s="320"/>
      <c r="DV33" s="324"/>
      <c r="DW33" s="325"/>
      <c r="DX33" s="320"/>
      <c r="DY33" s="324"/>
      <c r="DZ33" s="324"/>
      <c r="EA33" s="630">
        <f>+C33+F33+I33+L33+O33+R33+U33+X33+AA33+AD33+AG33+AJ33+AM33+AP33+AS33+AV33+AY33+BB33+BE33+BH33+BK33+BN33+BQ33+BT33+BW33+BZ33+CC33+CF33+CI33+CL33+CO33+CR33+CU33+CX33+DA33+DD33+DG33+DJ33+DM33+DP33+DS33+DV33+DY33+'Chorus Champs'!C33+'Chorus Champs'!F33+'Chorus Champs'!I33</f>
        <v>12.262</v>
      </c>
      <c r="EB33" s="475">
        <v>20</v>
      </c>
      <c r="EC33" s="630">
        <f t="shared" si="0"/>
        <v>0.61309999999999998</v>
      </c>
      <c r="ED33" s="475">
        <f>+D33+G33+J33+M33+P33+S33+V33+Y33+AB33+AE33+AH33+AK33+AN33+AQ33+AT33+AW33+AZ33+BC33+BF33+BI33+BL33+BO33+BR33+BU33+BX33+CA33+CD33+CG33+CJ33+CM33+CP33+CS33+CV33+CY33+DB33+DE33+DH33+DK33+DN33+DQ33+DT33+DW33+DZ33+'Chorus Champs'!D33+'Chorus Champs'!G33+'Chorus Champs'!J33</f>
        <v>761</v>
      </c>
      <c r="EE33" s="475">
        <f t="shared" si="1"/>
        <v>38</v>
      </c>
    </row>
    <row r="34" spans="1:135" s="294" customFormat="1" ht="18" customHeight="1" x14ac:dyDescent="0.2">
      <c r="A34" s="283">
        <v>2003</v>
      </c>
      <c r="B34" s="284" t="s">
        <v>3075</v>
      </c>
      <c r="C34" s="627">
        <v>0.72499999999999998</v>
      </c>
      <c r="D34" s="325">
        <v>24</v>
      </c>
      <c r="E34" s="320" t="s">
        <v>4189</v>
      </c>
      <c r="F34" s="627">
        <v>0.72440000000000004</v>
      </c>
      <c r="G34" s="325">
        <v>57</v>
      </c>
      <c r="H34" s="320" t="s">
        <v>535</v>
      </c>
      <c r="I34" s="627">
        <v>0.64939999999999998</v>
      </c>
      <c r="J34" s="287">
        <v>35</v>
      </c>
      <c r="K34" s="320" t="s">
        <v>4143</v>
      </c>
      <c r="L34" s="627">
        <v>0.64</v>
      </c>
      <c r="M34" s="325">
        <v>49</v>
      </c>
      <c r="N34" s="320" t="s">
        <v>3805</v>
      </c>
      <c r="O34" s="627">
        <v>0.63329999999999997</v>
      </c>
      <c r="P34" s="325">
        <v>42</v>
      </c>
      <c r="Q34" s="320" t="s">
        <v>2550</v>
      </c>
      <c r="R34" s="627">
        <v>0.62670000000000003</v>
      </c>
      <c r="S34" s="325">
        <v>23</v>
      </c>
      <c r="T34" s="320" t="s">
        <v>1803</v>
      </c>
      <c r="U34" s="627">
        <v>0.62280000000000002</v>
      </c>
      <c r="V34" s="325">
        <v>32</v>
      </c>
      <c r="W34" s="320" t="s">
        <v>3076</v>
      </c>
      <c r="X34" s="627">
        <v>0.61939999999999995</v>
      </c>
      <c r="Y34" s="325">
        <v>19</v>
      </c>
      <c r="Z34" s="320" t="s">
        <v>663</v>
      </c>
      <c r="AA34" s="627">
        <v>0.61219999999999997</v>
      </c>
      <c r="AB34" s="325">
        <v>43</v>
      </c>
      <c r="AC34" s="320" t="s">
        <v>664</v>
      </c>
      <c r="AD34" s="627">
        <v>0.59</v>
      </c>
      <c r="AE34" s="325">
        <v>26</v>
      </c>
      <c r="AF34" s="320" t="s">
        <v>3815</v>
      </c>
      <c r="AG34" s="627">
        <v>0.58220000000000005</v>
      </c>
      <c r="AH34" s="325">
        <v>34</v>
      </c>
      <c r="AI34" s="320" t="s">
        <v>665</v>
      </c>
      <c r="AJ34" s="627">
        <v>0.56889999999999996</v>
      </c>
      <c r="AK34" s="325">
        <v>38</v>
      </c>
      <c r="AL34" s="320" t="s">
        <v>2322</v>
      </c>
      <c r="AM34" s="627">
        <v>0.56779999999999997</v>
      </c>
      <c r="AN34" s="325">
        <v>35</v>
      </c>
      <c r="AO34" s="320" t="s">
        <v>4199</v>
      </c>
      <c r="AP34" s="627">
        <v>0.55889999999999995</v>
      </c>
      <c r="AQ34" s="325">
        <v>23</v>
      </c>
      <c r="AR34" s="320" t="s">
        <v>374</v>
      </c>
      <c r="AS34" s="627">
        <v>0.53110000000000002</v>
      </c>
      <c r="AT34" s="325">
        <v>19</v>
      </c>
      <c r="AU34" s="320" t="s">
        <v>4197</v>
      </c>
      <c r="AV34" s="627">
        <v>0.52170000000000005</v>
      </c>
      <c r="AW34" s="325">
        <v>27</v>
      </c>
      <c r="AX34" s="320" t="s">
        <v>666</v>
      </c>
      <c r="AY34" s="627"/>
      <c r="AZ34" s="325">
        <v>33</v>
      </c>
      <c r="BA34" s="320"/>
      <c r="BB34" s="627"/>
      <c r="BC34" s="325"/>
      <c r="BD34" s="320"/>
      <c r="BE34" s="627"/>
      <c r="BF34" s="325"/>
      <c r="BG34" s="320"/>
      <c r="BH34" s="627"/>
      <c r="BI34" s="325"/>
      <c r="BJ34" s="320"/>
      <c r="BK34" s="627"/>
      <c r="BL34" s="325"/>
      <c r="BM34" s="320"/>
      <c r="BN34" s="627"/>
      <c r="BO34" s="325"/>
      <c r="BP34" s="320"/>
      <c r="BQ34" s="627"/>
      <c r="BR34" s="325"/>
      <c r="BS34" s="320"/>
      <c r="BT34" s="627"/>
      <c r="BU34" s="325"/>
      <c r="BV34" s="320"/>
      <c r="BW34" s="627"/>
      <c r="BX34" s="325"/>
      <c r="BY34" s="320"/>
      <c r="BZ34" s="627"/>
      <c r="CA34" s="325"/>
      <c r="CB34" s="320"/>
      <c r="CC34" s="627"/>
      <c r="CD34" s="325"/>
      <c r="CE34" s="320"/>
      <c r="CF34" s="627"/>
      <c r="CG34" s="325"/>
      <c r="CH34" s="320"/>
      <c r="CI34" s="627"/>
      <c r="CJ34" s="325"/>
      <c r="CK34" s="320"/>
      <c r="CL34" s="627"/>
      <c r="CM34" s="325"/>
      <c r="CN34" s="320"/>
      <c r="CO34" s="627"/>
      <c r="CP34" s="325"/>
      <c r="CQ34" s="320"/>
      <c r="CR34" s="627"/>
      <c r="CS34" s="325"/>
      <c r="CT34" s="320"/>
      <c r="CU34" s="627"/>
      <c r="CV34" s="325"/>
      <c r="CW34" s="320"/>
      <c r="CX34" s="627"/>
      <c r="CY34" s="325"/>
      <c r="CZ34" s="320"/>
      <c r="DA34" s="627"/>
      <c r="DB34" s="325"/>
      <c r="DC34" s="320"/>
      <c r="DD34" s="627"/>
      <c r="DE34" s="324"/>
      <c r="DF34" s="320"/>
      <c r="DG34" s="324"/>
      <c r="DH34" s="324"/>
      <c r="DI34" s="320"/>
      <c r="DJ34" s="324"/>
      <c r="DK34" s="324"/>
      <c r="DL34" s="320"/>
      <c r="DM34" s="324"/>
      <c r="DN34" s="325"/>
      <c r="DO34" s="320"/>
      <c r="DP34" s="324"/>
      <c r="DQ34" s="324"/>
      <c r="DR34" s="320"/>
      <c r="DS34" s="324"/>
      <c r="DT34" s="324"/>
      <c r="DU34" s="320"/>
      <c r="DV34" s="324"/>
      <c r="DW34" s="325"/>
      <c r="DX34" s="320"/>
      <c r="DY34" s="324"/>
      <c r="DZ34" s="324"/>
      <c r="EA34" s="630">
        <f>+C34+F34+I34+L34+O34+R34+U34+X34+AA34+AD34+AG34+AJ34+AM34+AP34+AS34+AV34+AY34+BB34+BE34+BH34+BK34+BN34+BQ34+BT34+BW34+BZ34+CC34+CF34+CI34+CL34+CO34+CR34+CU34+CX34+DA34+DD34+DG34+DJ34+DM34+DP34+DS34+DV34+DY34+'Chorus Champs'!C34+'Chorus Champs'!F34+'Chorus Champs'!I34</f>
        <v>12.0055</v>
      </c>
      <c r="EB34" s="475">
        <v>20</v>
      </c>
      <c r="EC34" s="630">
        <f t="shared" si="0"/>
        <v>0.60029999999999994</v>
      </c>
      <c r="ED34" s="475">
        <f>+D34+G34+J34+M34+P34+S34+V34+Y34+AB34+AE34+AH34+AK34+AN34+AQ34+AT34+AW34+AZ34+BC34+BF34+BI34+BL34+BO34+BR34+BU34+BX34+CA34+CD34+CG34+CJ34+CM34+CP34+CS34+CV34+CY34+DB34+DE34+DH34+DK34+DN34+DQ34+DT34+DW34+DZ34+'Chorus Champs'!D34+'Chorus Champs'!G34+'Chorus Champs'!J34</f>
        <v>734</v>
      </c>
      <c r="EE34" s="475">
        <f t="shared" si="1"/>
        <v>37</v>
      </c>
    </row>
    <row r="35" spans="1:135" s="294" customFormat="1" ht="18" customHeight="1" x14ac:dyDescent="0.2">
      <c r="A35" s="283">
        <v>2004</v>
      </c>
      <c r="B35" s="284" t="s">
        <v>3075</v>
      </c>
      <c r="C35" s="627">
        <v>0.72829999999999995</v>
      </c>
      <c r="D35" s="325">
        <v>27</v>
      </c>
      <c r="E35" s="320" t="s">
        <v>2552</v>
      </c>
      <c r="F35" s="627">
        <v>0.67169999999999996</v>
      </c>
      <c r="G35" s="325">
        <v>36</v>
      </c>
      <c r="H35" s="320" t="s">
        <v>4143</v>
      </c>
      <c r="I35" s="627">
        <v>0.67059999999999997</v>
      </c>
      <c r="J35" s="287">
        <v>44</v>
      </c>
      <c r="K35" s="320" t="s">
        <v>3805</v>
      </c>
      <c r="L35" s="627">
        <v>0.66559999999999997</v>
      </c>
      <c r="M35" s="325">
        <v>47</v>
      </c>
      <c r="N35" s="320" t="s">
        <v>1957</v>
      </c>
      <c r="O35" s="627">
        <v>0.64829999999999999</v>
      </c>
      <c r="P35" s="325">
        <v>24</v>
      </c>
      <c r="Q35" s="320" t="s">
        <v>667</v>
      </c>
      <c r="R35" s="627">
        <v>0.63</v>
      </c>
      <c r="S35" s="325">
        <v>31</v>
      </c>
      <c r="T35" s="320" t="s">
        <v>3076</v>
      </c>
      <c r="U35" s="627">
        <v>0.61329999999999996</v>
      </c>
      <c r="V35" s="325">
        <v>22</v>
      </c>
      <c r="W35" s="320" t="s">
        <v>668</v>
      </c>
      <c r="X35" s="627">
        <v>0.61170000000000002</v>
      </c>
      <c r="Y35" s="325">
        <v>24</v>
      </c>
      <c r="Z35" s="320" t="s">
        <v>669</v>
      </c>
      <c r="AA35" s="627">
        <v>0.59</v>
      </c>
      <c r="AB35" s="325">
        <v>37</v>
      </c>
      <c r="AC35" s="320" t="s">
        <v>670</v>
      </c>
      <c r="AD35" s="627">
        <v>0.58830000000000005</v>
      </c>
      <c r="AE35" s="325">
        <v>30</v>
      </c>
      <c r="AF35" s="320" t="s">
        <v>3815</v>
      </c>
      <c r="AG35" s="627">
        <v>0.58499999999999996</v>
      </c>
      <c r="AH35" s="325">
        <v>36</v>
      </c>
      <c r="AI35" s="320" t="s">
        <v>671</v>
      </c>
      <c r="AJ35" s="627">
        <v>0.58389999999999997</v>
      </c>
      <c r="AK35" s="325">
        <v>43</v>
      </c>
      <c r="AL35" s="320" t="s">
        <v>2322</v>
      </c>
      <c r="AM35" s="627">
        <v>0.58279999999999998</v>
      </c>
      <c r="AN35" s="325">
        <v>31</v>
      </c>
      <c r="AO35" s="320" t="s">
        <v>672</v>
      </c>
      <c r="AP35" s="627">
        <v>0.5706</v>
      </c>
      <c r="AQ35" s="325">
        <v>31</v>
      </c>
      <c r="AR35" s="320" t="s">
        <v>536</v>
      </c>
      <c r="AS35" s="627">
        <v>0.56389999999999996</v>
      </c>
      <c r="AT35" s="325">
        <v>21</v>
      </c>
      <c r="AU35" s="320" t="s">
        <v>4199</v>
      </c>
      <c r="AV35" s="627">
        <v>0.54330000000000001</v>
      </c>
      <c r="AW35" s="325">
        <v>27</v>
      </c>
      <c r="AX35" s="320" t="s">
        <v>3652</v>
      </c>
      <c r="AY35" s="627">
        <v>0.53779999999999994</v>
      </c>
      <c r="AZ35" s="325">
        <v>31</v>
      </c>
      <c r="BA35" s="320" t="s">
        <v>673</v>
      </c>
      <c r="BB35" s="627">
        <v>0.53559999999999997</v>
      </c>
      <c r="BC35" s="325">
        <v>22</v>
      </c>
      <c r="BD35" s="320" t="s">
        <v>674</v>
      </c>
      <c r="BE35" s="627">
        <v>0.53439999999999999</v>
      </c>
      <c r="BF35" s="325">
        <v>21</v>
      </c>
      <c r="BG35" s="320" t="s">
        <v>675</v>
      </c>
      <c r="BH35" s="627">
        <v>0.5272</v>
      </c>
      <c r="BI35" s="325">
        <v>19</v>
      </c>
      <c r="BJ35" s="320" t="s">
        <v>2148</v>
      </c>
      <c r="BK35" s="627">
        <v>0.52500000000000002</v>
      </c>
      <c r="BL35" s="325">
        <v>17</v>
      </c>
      <c r="BM35" s="320" t="s">
        <v>2149</v>
      </c>
      <c r="BN35" s="627">
        <v>0.52390000000000003</v>
      </c>
      <c r="BO35" s="325">
        <v>24</v>
      </c>
      <c r="BP35" s="320" t="s">
        <v>2150</v>
      </c>
      <c r="BQ35" s="627">
        <v>0.5222</v>
      </c>
      <c r="BR35" s="325">
        <v>18</v>
      </c>
      <c r="BS35" s="320" t="s">
        <v>2151</v>
      </c>
      <c r="BT35" s="627">
        <v>0.52110000000000001</v>
      </c>
      <c r="BU35" s="325">
        <v>27</v>
      </c>
      <c r="BV35" s="320" t="s">
        <v>2152</v>
      </c>
      <c r="BW35" s="627">
        <v>0.51780000000000004</v>
      </c>
      <c r="BX35" s="325">
        <v>28</v>
      </c>
      <c r="BY35" s="320" t="s">
        <v>2153</v>
      </c>
      <c r="BZ35" s="627">
        <v>0.51219999999999999</v>
      </c>
      <c r="CA35" s="325">
        <v>29</v>
      </c>
      <c r="CB35" s="320" t="s">
        <v>1647</v>
      </c>
      <c r="CC35" s="627">
        <v>0.50439999999999996</v>
      </c>
      <c r="CD35" s="325">
        <v>14</v>
      </c>
      <c r="CE35" s="320" t="s">
        <v>1648</v>
      </c>
      <c r="CF35" s="627">
        <v>0.49890000000000001</v>
      </c>
      <c r="CG35" s="325">
        <v>17</v>
      </c>
      <c r="CH35" s="320" t="s">
        <v>1649</v>
      </c>
      <c r="CI35" s="627">
        <v>0.49280000000000002</v>
      </c>
      <c r="CJ35" s="325">
        <v>15</v>
      </c>
      <c r="CK35" s="320"/>
      <c r="CL35" s="627"/>
      <c r="CM35" s="325"/>
      <c r="CN35" s="320"/>
      <c r="CO35" s="627"/>
      <c r="CP35" s="325"/>
      <c r="CQ35" s="320"/>
      <c r="CR35" s="627"/>
      <c r="CS35" s="325"/>
      <c r="CT35" s="320"/>
      <c r="CU35" s="627"/>
      <c r="CV35" s="325"/>
      <c r="CW35" s="320"/>
      <c r="CX35" s="627"/>
      <c r="CY35" s="325"/>
      <c r="CZ35" s="320"/>
      <c r="DA35" s="627"/>
      <c r="DB35" s="325"/>
      <c r="DC35" s="320"/>
      <c r="DD35" s="627"/>
      <c r="DE35" s="324"/>
      <c r="DF35" s="320"/>
      <c r="DG35" s="324"/>
      <c r="DH35" s="324"/>
      <c r="DI35" s="320"/>
      <c r="DJ35" s="324"/>
      <c r="DK35" s="324"/>
      <c r="DL35" s="320"/>
      <c r="DM35" s="324"/>
      <c r="DN35" s="325"/>
      <c r="DO35" s="320"/>
      <c r="DP35" s="324"/>
      <c r="DQ35" s="324"/>
      <c r="DR35" s="320"/>
      <c r="DS35" s="324"/>
      <c r="DT35" s="324"/>
      <c r="DU35" s="320"/>
      <c r="DV35" s="324"/>
      <c r="DW35" s="325"/>
      <c r="DX35" s="320"/>
      <c r="DY35" s="324"/>
      <c r="DZ35" s="324"/>
      <c r="EA35" s="630">
        <f>+C35+F35+I35+L35+O35+R35+U35+X35+AA35+AD35+AG35+AJ35+AM35+AP35+AS35+AV35+AY35+BB35+BE35+BH35+BK35+BN35+BQ35+BT35+BW35+BZ35+CC35+CF35+CI35+CL35+CO35+CR35+CU35+CX35+DA35+DD35+DG35+DJ35+DM35+DP35+DS35+DV35+DY35+'Chorus Champs'!C35+'Chorus Champs'!F35+'Chorus Champs'!I35</f>
        <v>18.921700000000001</v>
      </c>
      <c r="EB35" s="475">
        <v>32</v>
      </c>
      <c r="EC35" s="630">
        <f t="shared" si="0"/>
        <v>0.59130000000000005</v>
      </c>
      <c r="ED35" s="475">
        <f>+D35+G35+J35+M35+P35+S35+V35+Y35+AB35+AE35+AH35+AK35+AN35+AQ35+AT35+AW35+AZ35+BC35+BF35+BI35+BL35+BO35+BR35+BU35+BX35+CA35+CD35+CG35+CJ35+CM35+CP35+CS35+CV35+CY35+DB35+DE35+DH35+DK35+DN35+DQ35+DT35+DW35+DZ35+'Chorus Champs'!D35+'Chorus Champs'!G35+'Chorus Champs'!J35</f>
        <v>955</v>
      </c>
      <c r="EE35" s="475">
        <f t="shared" si="1"/>
        <v>30</v>
      </c>
    </row>
    <row r="36" spans="1:135" s="284" customFormat="1" ht="18" customHeight="1" x14ac:dyDescent="0.2">
      <c r="A36" s="283">
        <v>2005</v>
      </c>
      <c r="B36" s="284" t="s">
        <v>4189</v>
      </c>
      <c r="C36" s="627">
        <v>0.70669999999999999</v>
      </c>
      <c r="D36" s="325">
        <v>50</v>
      </c>
      <c r="E36" s="320" t="s">
        <v>1650</v>
      </c>
      <c r="F36" s="627">
        <v>0.67710000000000004</v>
      </c>
      <c r="G36" s="325">
        <v>26</v>
      </c>
      <c r="H36" s="320" t="s">
        <v>4143</v>
      </c>
      <c r="I36" s="627">
        <v>0.65290000000000004</v>
      </c>
      <c r="J36" s="287">
        <v>41</v>
      </c>
      <c r="K36" s="284" t="s">
        <v>2552</v>
      </c>
      <c r="L36" s="627">
        <v>0.64290000000000003</v>
      </c>
      <c r="M36" s="325">
        <v>31</v>
      </c>
      <c r="N36" s="284" t="s">
        <v>3805</v>
      </c>
      <c r="O36" s="627">
        <v>0.63670000000000004</v>
      </c>
      <c r="P36" s="325">
        <v>42</v>
      </c>
      <c r="Q36" s="284" t="s">
        <v>1651</v>
      </c>
      <c r="R36" s="627">
        <v>0.62380000000000002</v>
      </c>
      <c r="S36" s="325">
        <v>35</v>
      </c>
      <c r="T36" s="284" t="s">
        <v>1652</v>
      </c>
      <c r="U36" s="627">
        <v>0.60329999999999995</v>
      </c>
      <c r="V36" s="325">
        <v>24</v>
      </c>
      <c r="W36" s="284" t="s">
        <v>3815</v>
      </c>
      <c r="X36" s="627">
        <v>0.59960000000000002</v>
      </c>
      <c r="Y36" s="325">
        <v>40</v>
      </c>
      <c r="Z36" s="320" t="s">
        <v>1653</v>
      </c>
      <c r="AA36" s="627">
        <v>0.58330000000000004</v>
      </c>
      <c r="AB36" s="325">
        <v>23</v>
      </c>
      <c r="AC36" s="284" t="s">
        <v>2324</v>
      </c>
      <c r="AD36" s="627">
        <v>0.58289999999999997</v>
      </c>
      <c r="AE36" s="325">
        <v>27</v>
      </c>
      <c r="AF36" s="284" t="s">
        <v>1958</v>
      </c>
      <c r="AG36" s="627">
        <v>0.58289999999999997</v>
      </c>
      <c r="AH36" s="325">
        <v>31</v>
      </c>
      <c r="AI36" s="284" t="s">
        <v>1654</v>
      </c>
      <c r="AJ36" s="627">
        <v>0.57750000000000001</v>
      </c>
      <c r="AK36" s="325">
        <v>36</v>
      </c>
      <c r="AL36" s="284" t="s">
        <v>671</v>
      </c>
      <c r="AM36" s="627">
        <v>0.57379999999999998</v>
      </c>
      <c r="AN36" s="325">
        <v>37</v>
      </c>
      <c r="AO36" s="284" t="s">
        <v>3652</v>
      </c>
      <c r="AP36" s="627">
        <f>1369/2400</f>
        <v>0.57040000000000002</v>
      </c>
      <c r="AQ36" s="325">
        <v>34</v>
      </c>
      <c r="AR36" s="284" t="s">
        <v>1655</v>
      </c>
      <c r="AS36" s="627">
        <v>0.56710000000000005</v>
      </c>
      <c r="AT36" s="325">
        <v>21</v>
      </c>
      <c r="AU36" s="284" t="s">
        <v>1656</v>
      </c>
      <c r="AV36" s="627">
        <v>0.56630000000000003</v>
      </c>
      <c r="AW36" s="325">
        <v>37</v>
      </c>
      <c r="AX36" s="284" t="s">
        <v>2151</v>
      </c>
      <c r="AY36" s="627">
        <v>0.55959999999999999</v>
      </c>
      <c r="AZ36" s="325">
        <v>20</v>
      </c>
      <c r="BA36" s="284" t="s">
        <v>4187</v>
      </c>
      <c r="BB36" s="627">
        <f>1325/2400</f>
        <v>0.55210000000000004</v>
      </c>
      <c r="BC36" s="325">
        <v>24</v>
      </c>
      <c r="BD36" s="284" t="s">
        <v>4201</v>
      </c>
      <c r="BE36" s="627">
        <v>0.53920000000000001</v>
      </c>
      <c r="BF36" s="325">
        <v>17</v>
      </c>
      <c r="BG36" s="284" t="s">
        <v>4199</v>
      </c>
      <c r="BH36" s="627">
        <f>1269/2400</f>
        <v>0.52880000000000005</v>
      </c>
      <c r="BI36" s="325">
        <v>25</v>
      </c>
      <c r="BJ36" s="320" t="s">
        <v>2150</v>
      </c>
      <c r="BK36" s="627">
        <v>0.50419999999999998</v>
      </c>
      <c r="BL36" s="325">
        <v>18</v>
      </c>
      <c r="BM36" s="284" t="s">
        <v>1657</v>
      </c>
      <c r="BN36" s="627">
        <f>1187/2400</f>
        <v>0.49459999999999998</v>
      </c>
      <c r="BO36" s="325">
        <v>10</v>
      </c>
      <c r="BP36" s="284" t="s">
        <v>1658</v>
      </c>
      <c r="BQ36" s="627">
        <v>0.48959999999999998</v>
      </c>
      <c r="BR36" s="325">
        <v>18</v>
      </c>
      <c r="BS36" s="284" t="s">
        <v>4216</v>
      </c>
      <c r="BT36" s="627">
        <v>0.4879</v>
      </c>
      <c r="BU36" s="325">
        <v>16</v>
      </c>
      <c r="BV36" s="284" t="s">
        <v>673</v>
      </c>
      <c r="BW36" s="627">
        <v>0.48670000000000002</v>
      </c>
      <c r="BX36" s="325">
        <v>21</v>
      </c>
      <c r="BZ36" s="627"/>
      <c r="CA36" s="325"/>
      <c r="CC36" s="627"/>
      <c r="CD36" s="325"/>
      <c r="CF36" s="627"/>
      <c r="CG36" s="325"/>
      <c r="CI36" s="627"/>
      <c r="CJ36" s="325"/>
      <c r="CL36" s="627"/>
      <c r="CM36" s="325"/>
      <c r="CO36" s="627"/>
      <c r="CP36" s="325"/>
      <c r="CR36" s="627"/>
      <c r="CS36" s="325"/>
      <c r="CU36" s="627"/>
      <c r="CV36" s="325"/>
      <c r="CX36" s="627"/>
      <c r="CY36" s="325"/>
      <c r="DA36" s="627"/>
      <c r="DB36" s="325"/>
      <c r="DD36" s="627"/>
      <c r="DE36" s="325"/>
      <c r="DG36" s="324"/>
      <c r="DH36" s="325"/>
      <c r="DJ36" s="324"/>
      <c r="DK36" s="325"/>
      <c r="DM36" s="324"/>
      <c r="DN36" s="325"/>
      <c r="DP36" s="324"/>
      <c r="DQ36" s="325"/>
      <c r="DS36" s="324"/>
      <c r="DT36" s="325"/>
      <c r="DV36" s="324"/>
      <c r="DW36" s="325"/>
      <c r="DY36" s="324"/>
      <c r="DZ36" s="324"/>
      <c r="EA36" s="630">
        <f>+C36+F36+I36+L36+O36+R36+U36+X36+AA36+AD36+AG36+AJ36+AM36+AP36+AS36+AV36+AY36+BB36+BE36+BH36+BK36+BN36+BQ36+BT36+BW36+BZ36+CC36+CF36+CI36+CL36+CO36+CR36+CU36+CX36+DA36+DD36+DG36+DJ36+DM36+DP36+DS36+DV36+DY36+'Chorus Champs'!C36+'Chorus Champs'!F36+'Chorus Champs'!I36</f>
        <v>16.665400000000002</v>
      </c>
      <c r="EB36" s="475">
        <v>28</v>
      </c>
      <c r="EC36" s="630">
        <f t="shared" si="0"/>
        <v>0.59519999999999995</v>
      </c>
      <c r="ED36" s="475">
        <f>+D36+G36+J36+M36+P36+S36+V36+Y36+AB36+AE36+AH36+AK36+AN36+AQ36+AT36+AW36+AZ36+BC36+BF36+BI36+BL36+BO36+BR36+BU36+BX36+CA36+CD36+CG36+CJ36+CM36+CP36+CS36+CV36+CY36+DB36+DE36+DH36+DK36+DN36+DQ36+DT36+DW36+DZ36+'Chorus Champs'!D36+'Chorus Champs'!G36+'Chorus Champs'!J36</f>
        <v>874</v>
      </c>
      <c r="EE36" s="475">
        <f t="shared" si="1"/>
        <v>31</v>
      </c>
    </row>
    <row r="37" spans="1:135" s="284" customFormat="1" ht="18" customHeight="1" x14ac:dyDescent="0.2">
      <c r="A37" s="283">
        <v>2006</v>
      </c>
      <c r="B37" s="284" t="s">
        <v>2549</v>
      </c>
      <c r="C37" s="627">
        <v>0.68889999999999996</v>
      </c>
      <c r="D37" s="325">
        <v>45</v>
      </c>
      <c r="E37" s="284" t="s">
        <v>2554</v>
      </c>
      <c r="F37" s="627">
        <v>0.66559999999999997</v>
      </c>
      <c r="G37" s="325">
        <v>38</v>
      </c>
      <c r="H37" s="284" t="s">
        <v>2552</v>
      </c>
      <c r="I37" s="627">
        <v>0.66</v>
      </c>
      <c r="J37" s="287">
        <v>33</v>
      </c>
      <c r="K37" s="284" t="s">
        <v>3814</v>
      </c>
      <c r="L37" s="627">
        <v>0.66</v>
      </c>
      <c r="M37" s="325">
        <v>33</v>
      </c>
      <c r="N37" s="284" t="s">
        <v>1957</v>
      </c>
      <c r="O37" s="627">
        <v>0.65610000000000002</v>
      </c>
      <c r="P37" s="325">
        <v>22</v>
      </c>
      <c r="Q37" s="284" t="s">
        <v>4204</v>
      </c>
      <c r="R37" s="627">
        <v>0.625</v>
      </c>
      <c r="S37" s="325">
        <v>33</v>
      </c>
      <c r="T37" s="284" t="s">
        <v>2324</v>
      </c>
      <c r="U37" s="627">
        <v>0.5978</v>
      </c>
      <c r="V37" s="325">
        <v>29</v>
      </c>
      <c r="W37" s="284" t="s">
        <v>3650</v>
      </c>
      <c r="X37" s="627">
        <v>0.59330000000000005</v>
      </c>
      <c r="Y37" s="325">
        <v>15</v>
      </c>
      <c r="Z37" s="284" t="s">
        <v>2325</v>
      </c>
      <c r="AA37" s="627">
        <v>0.59</v>
      </c>
      <c r="AB37" s="325">
        <v>31</v>
      </c>
      <c r="AC37" s="284" t="s">
        <v>3815</v>
      </c>
      <c r="AD37" s="627">
        <v>0.5867</v>
      </c>
      <c r="AE37" s="325">
        <v>42</v>
      </c>
      <c r="AF37" s="284" t="s">
        <v>1958</v>
      </c>
      <c r="AG37" s="627">
        <v>0.58440000000000003</v>
      </c>
      <c r="AH37" s="325">
        <v>25</v>
      </c>
      <c r="AI37" s="284" t="s">
        <v>2553</v>
      </c>
      <c r="AJ37" s="627">
        <v>0.57940000000000003</v>
      </c>
      <c r="AK37" s="325">
        <v>39</v>
      </c>
      <c r="AL37" s="284" t="s">
        <v>3652</v>
      </c>
      <c r="AM37" s="627">
        <v>0.56889999999999996</v>
      </c>
      <c r="AN37" s="325">
        <v>24</v>
      </c>
      <c r="AO37" s="284" t="s">
        <v>3651</v>
      </c>
      <c r="AP37" s="627">
        <v>0.55669999999999997</v>
      </c>
      <c r="AQ37" s="325">
        <v>17</v>
      </c>
      <c r="AR37" s="284" t="s">
        <v>1655</v>
      </c>
      <c r="AS37" s="627">
        <v>0.5494</v>
      </c>
      <c r="AT37" s="325">
        <v>31</v>
      </c>
      <c r="AU37" s="284" t="s">
        <v>2323</v>
      </c>
      <c r="AV37" s="627">
        <v>0.54330000000000001</v>
      </c>
      <c r="AW37" s="325">
        <v>28</v>
      </c>
      <c r="AX37" s="284" t="s">
        <v>4213</v>
      </c>
      <c r="AY37" s="627">
        <v>0.5161</v>
      </c>
      <c r="AZ37" s="325">
        <v>18</v>
      </c>
      <c r="BA37" s="284" t="s">
        <v>4201</v>
      </c>
      <c r="BB37" s="627">
        <v>0.51219999999999999</v>
      </c>
      <c r="BC37" s="325">
        <v>17</v>
      </c>
      <c r="BD37" s="284" t="s">
        <v>3811</v>
      </c>
      <c r="BE37" s="627">
        <v>0.49890000000000001</v>
      </c>
      <c r="BF37" s="325">
        <v>14</v>
      </c>
      <c r="BG37" s="284" t="s">
        <v>4199</v>
      </c>
      <c r="BH37" s="627">
        <v>0.49280000000000002</v>
      </c>
      <c r="BI37" s="325">
        <v>15</v>
      </c>
      <c r="BJ37" s="284" t="s">
        <v>3809</v>
      </c>
      <c r="BK37" s="627">
        <v>0.48780000000000001</v>
      </c>
      <c r="BL37" s="325">
        <v>18</v>
      </c>
      <c r="BM37" s="284" t="s">
        <v>3813</v>
      </c>
      <c r="BN37" s="627">
        <v>0.48220000000000002</v>
      </c>
      <c r="BO37" s="325">
        <v>31</v>
      </c>
      <c r="BP37" s="284" t="s">
        <v>4216</v>
      </c>
      <c r="BQ37" s="627">
        <v>0.45939999999999998</v>
      </c>
      <c r="BR37" s="325">
        <v>15</v>
      </c>
      <c r="BT37" s="627"/>
      <c r="BU37" s="325"/>
      <c r="BW37" s="627"/>
      <c r="BX37" s="325"/>
      <c r="BZ37" s="627"/>
      <c r="CA37" s="325"/>
      <c r="CC37" s="627"/>
      <c r="CD37" s="325"/>
      <c r="CF37" s="627"/>
      <c r="CG37" s="325"/>
      <c r="CI37" s="627"/>
      <c r="CJ37" s="325"/>
      <c r="CL37" s="627"/>
      <c r="CM37" s="325"/>
      <c r="CO37" s="627"/>
      <c r="CP37" s="325"/>
      <c r="CR37" s="627"/>
      <c r="CS37" s="325"/>
      <c r="CU37" s="627"/>
      <c r="CV37" s="325"/>
      <c r="CX37" s="627"/>
      <c r="CY37" s="325"/>
      <c r="DA37" s="627"/>
      <c r="DB37" s="325"/>
      <c r="DD37" s="627"/>
      <c r="DE37" s="325"/>
      <c r="DG37" s="324"/>
      <c r="DH37" s="325"/>
      <c r="DJ37" s="324"/>
      <c r="DK37" s="325"/>
      <c r="DM37" s="324"/>
      <c r="DN37" s="325"/>
      <c r="DP37" s="324"/>
      <c r="DQ37" s="325"/>
      <c r="DS37" s="324"/>
      <c r="DT37" s="325"/>
      <c r="DV37" s="324"/>
      <c r="DW37" s="325"/>
      <c r="DY37" s="324"/>
      <c r="DZ37" s="324"/>
      <c r="EA37" s="630">
        <f>+C37+F37+I37+L37+O37+R37+U37+X37+AA37+AD37+AG37+AJ37+AM37+AP37+AS37+AV37+AY37+BB37+BE37+BH37+BK37+BN37+BQ37+BT37+BW37+BZ37+CC37+CF37+CI37+CL37+CO37+CR37+CU37+CX37+DA37+DD37+DG37+DJ37+DM37+DP37+DS37+DV37+DY37+'Chorus Champs'!C37+'Chorus Champs'!F37+'Chorus Champs'!I37</f>
        <v>15.426600000000001</v>
      </c>
      <c r="EB37" s="475">
        <v>26</v>
      </c>
      <c r="EC37" s="630">
        <f t="shared" si="0"/>
        <v>0.59330000000000005</v>
      </c>
      <c r="ED37" s="475">
        <f>+D37+G37+J37+M37+P37+S37+V37+Y37+AB37+AE37+AH37+AK37+AN37+AQ37+AT37+AW37+AZ37+BC37+BF37+BI37+BL37+BO37+BR37+BU37+BX37+CA37+CD37+CG37+CJ37+CM37+CP37+CS37+CV37+CY37+DB37+DE37+DH37+DK37+DN37+DQ37+DT37+DW37+DZ37+'Chorus Champs'!D37+'Chorus Champs'!G37+'Chorus Champs'!J37</f>
        <v>752</v>
      </c>
      <c r="EE37" s="475">
        <f t="shared" si="1"/>
        <v>29</v>
      </c>
    </row>
    <row r="38" spans="1:135" s="284" customFormat="1" ht="18" customHeight="1" x14ac:dyDescent="0.2">
      <c r="A38" s="283">
        <v>2007</v>
      </c>
      <c r="B38" s="284" t="s">
        <v>3805</v>
      </c>
      <c r="C38" s="627">
        <v>0.72719999999999996</v>
      </c>
      <c r="D38" s="325">
        <v>60</v>
      </c>
      <c r="E38" s="284" t="s">
        <v>2549</v>
      </c>
      <c r="F38" s="627">
        <v>0.72560000000000002</v>
      </c>
      <c r="G38" s="325">
        <v>51</v>
      </c>
      <c r="H38" s="284" t="s">
        <v>3806</v>
      </c>
      <c r="I38" s="627">
        <v>0.71940000000000004</v>
      </c>
      <c r="J38" s="287">
        <v>29</v>
      </c>
      <c r="K38" s="284" t="s">
        <v>2552</v>
      </c>
      <c r="L38" s="627">
        <v>0.67779999999999996</v>
      </c>
      <c r="M38" s="325">
        <v>42</v>
      </c>
      <c r="N38" s="284" t="s">
        <v>2554</v>
      </c>
      <c r="O38" s="627">
        <v>0.67</v>
      </c>
      <c r="P38" s="325">
        <v>41</v>
      </c>
      <c r="Q38" s="284" t="s">
        <v>2553</v>
      </c>
      <c r="R38" s="627">
        <v>0.66830000000000001</v>
      </c>
      <c r="S38" s="325">
        <v>33</v>
      </c>
      <c r="T38" s="284" t="s">
        <v>2324</v>
      </c>
      <c r="U38" s="627">
        <v>0.64280000000000004</v>
      </c>
      <c r="V38" s="325">
        <v>37</v>
      </c>
      <c r="W38" s="284" t="s">
        <v>2326</v>
      </c>
      <c r="X38" s="627">
        <v>0.6411</v>
      </c>
      <c r="Y38" s="325">
        <v>24</v>
      </c>
      <c r="Z38" s="284" t="s">
        <v>2551</v>
      </c>
      <c r="AA38" s="627">
        <v>0.64059999999999995</v>
      </c>
      <c r="AB38" s="325">
        <v>27</v>
      </c>
      <c r="AC38" s="284" t="s">
        <v>4204</v>
      </c>
      <c r="AD38" s="627">
        <v>0.63109999999999999</v>
      </c>
      <c r="AE38" s="325">
        <v>33</v>
      </c>
      <c r="AF38" s="284" t="s">
        <v>2322</v>
      </c>
      <c r="AG38" s="627">
        <v>0.61670000000000003</v>
      </c>
      <c r="AH38" s="325">
        <v>39</v>
      </c>
      <c r="AI38" s="284" t="s">
        <v>3807</v>
      </c>
      <c r="AJ38" s="627">
        <v>0.60940000000000005</v>
      </c>
      <c r="AK38" s="325">
        <v>36</v>
      </c>
      <c r="AL38" s="284" t="s">
        <v>4195</v>
      </c>
      <c r="AM38" s="627">
        <v>0.58889999999999998</v>
      </c>
      <c r="AN38" s="325">
        <v>36</v>
      </c>
      <c r="AO38" s="284" t="s">
        <v>2327</v>
      </c>
      <c r="AP38" s="627">
        <v>0.57499999999999996</v>
      </c>
      <c r="AQ38" s="325">
        <v>34</v>
      </c>
      <c r="AR38" s="284" t="s">
        <v>2323</v>
      </c>
      <c r="AS38" s="627">
        <v>0.56610000000000005</v>
      </c>
      <c r="AT38" s="325">
        <v>25</v>
      </c>
      <c r="AU38" s="284" t="s">
        <v>4202</v>
      </c>
      <c r="AV38" s="627">
        <v>0.54610000000000003</v>
      </c>
      <c r="AW38" s="325">
        <v>17</v>
      </c>
      <c r="AX38" s="284" t="s">
        <v>4218</v>
      </c>
      <c r="AY38" s="627">
        <v>0.54390000000000005</v>
      </c>
      <c r="AZ38" s="325">
        <v>12</v>
      </c>
      <c r="BA38" s="284" t="s">
        <v>4196</v>
      </c>
      <c r="BB38" s="627">
        <v>0.53720000000000001</v>
      </c>
      <c r="BC38" s="325">
        <v>21</v>
      </c>
      <c r="BD38" s="284" t="s">
        <v>4198</v>
      </c>
      <c r="BE38" s="627">
        <v>0.53669999999999995</v>
      </c>
      <c r="BF38" s="325">
        <v>26</v>
      </c>
      <c r="BG38" s="284" t="s">
        <v>3808</v>
      </c>
      <c r="BH38" s="627">
        <v>0.53220000000000001</v>
      </c>
      <c r="BI38" s="325">
        <v>35</v>
      </c>
      <c r="BJ38" s="284" t="s">
        <v>3809</v>
      </c>
      <c r="BK38" s="627">
        <v>0.5272</v>
      </c>
      <c r="BL38" s="325">
        <v>21</v>
      </c>
      <c r="BM38" s="284" t="s">
        <v>4203</v>
      </c>
      <c r="BN38" s="627">
        <v>0.52390000000000003</v>
      </c>
      <c r="BO38" s="325">
        <v>25</v>
      </c>
      <c r="BP38" s="284" t="s">
        <v>4210</v>
      </c>
      <c r="BQ38" s="627">
        <v>0.51439999999999997</v>
      </c>
      <c r="BR38" s="325">
        <v>14</v>
      </c>
      <c r="BS38" s="284" t="s">
        <v>3810</v>
      </c>
      <c r="BT38" s="627">
        <v>0.505</v>
      </c>
      <c r="BU38" s="325">
        <v>24</v>
      </c>
      <c r="BV38" s="284" t="s">
        <v>4213</v>
      </c>
      <c r="BW38" s="627">
        <v>0.50060000000000004</v>
      </c>
      <c r="BX38" s="325">
        <v>19</v>
      </c>
      <c r="BY38" s="284" t="s">
        <v>3811</v>
      </c>
      <c r="BZ38" s="627">
        <v>0.4778</v>
      </c>
      <c r="CA38" s="325">
        <v>17</v>
      </c>
      <c r="CB38" s="284" t="s">
        <v>3812</v>
      </c>
      <c r="CC38" s="627">
        <v>0.46889999999999998</v>
      </c>
      <c r="CD38" s="325">
        <v>24</v>
      </c>
      <c r="CE38" s="284" t="s">
        <v>3799</v>
      </c>
      <c r="CF38" s="627">
        <v>0.46110000000000001</v>
      </c>
      <c r="CG38" s="325">
        <v>19</v>
      </c>
      <c r="CH38" s="284" t="s">
        <v>4208</v>
      </c>
      <c r="CI38" s="627">
        <v>0.43169999999999997</v>
      </c>
      <c r="CJ38" s="325">
        <v>26</v>
      </c>
      <c r="CL38" s="627"/>
      <c r="CM38" s="325"/>
      <c r="CO38" s="627"/>
      <c r="CP38" s="325"/>
      <c r="CR38" s="627"/>
      <c r="CS38" s="325"/>
      <c r="CU38" s="627"/>
      <c r="CV38" s="325"/>
      <c r="CX38" s="627"/>
      <c r="CY38" s="325"/>
      <c r="DA38" s="627"/>
      <c r="DB38" s="325"/>
      <c r="DD38" s="627"/>
      <c r="DE38" s="325"/>
      <c r="DG38" s="324"/>
      <c r="DH38" s="325"/>
      <c r="DJ38" s="324"/>
      <c r="DK38" s="325"/>
      <c r="DM38" s="324"/>
      <c r="DN38" s="325"/>
      <c r="DP38" s="324"/>
      <c r="DQ38" s="325"/>
      <c r="DS38" s="324"/>
      <c r="DT38" s="325"/>
      <c r="DV38" s="324"/>
      <c r="DW38" s="325"/>
      <c r="DY38" s="324"/>
      <c r="DZ38" s="324"/>
      <c r="EA38" s="630">
        <f>+C38+F38+I38+L38+O38+R38+U38+X38+AA38+AD38+AG38+AJ38+AM38+AP38+AS38+AV38+AY38+BB38+BE38+BH38+BK38+BN38+BQ38+BT38+BW38+BZ38+CC38+CF38+CI38+CL38+CO38+CR38+CU38+CX38+DA38+DD38+DG38+DJ38+DM38+DP38+DS38+DV38+DY38+'Chorus Champs'!C38+'Chorus Champs'!F38+'Chorus Champs'!I38</f>
        <v>19.082799999999999</v>
      </c>
      <c r="EB38" s="475">
        <v>32</v>
      </c>
      <c r="EC38" s="630">
        <f t="shared" si="0"/>
        <v>0.59630000000000005</v>
      </c>
      <c r="ED38" s="475">
        <f>+D38+G38+J38+M38+P38+S38+V38+Y38+AB38+AE38+AH38+AK38+AN38+AQ38+AT38+AW38+AZ38+BC38+BF38+BI38+BL38+BO38+BR38+BU38+BX38+CA38+CD38+CG38+CJ38+CM38+CP38+CS38+CV38+CY38+DB38+DE38+DH38+DK38+DN38+DQ38+DT38+DW38+DZ38+'Chorus Champs'!D38+'Chorus Champs'!G38+'Chorus Champs'!J38</f>
        <v>987</v>
      </c>
      <c r="EE38" s="475">
        <f t="shared" si="1"/>
        <v>31</v>
      </c>
    </row>
    <row r="39" spans="1:135" s="284" customFormat="1" ht="18" customHeight="1" x14ac:dyDescent="0.2">
      <c r="A39" s="283">
        <v>2008</v>
      </c>
      <c r="B39" s="284" t="s">
        <v>2548</v>
      </c>
      <c r="C39" s="627">
        <v>0.72330000000000005</v>
      </c>
      <c r="D39" s="325">
        <v>40</v>
      </c>
      <c r="E39" s="284" t="s">
        <v>2549</v>
      </c>
      <c r="F39" s="627">
        <v>0.7</v>
      </c>
      <c r="G39" s="325">
        <v>51</v>
      </c>
      <c r="H39" s="284" t="s">
        <v>2550</v>
      </c>
      <c r="I39" s="627">
        <v>0.68220000000000003</v>
      </c>
      <c r="J39" s="287">
        <v>22</v>
      </c>
      <c r="K39" s="284" t="s">
        <v>2551</v>
      </c>
      <c r="L39" s="627">
        <v>0.66830000000000001</v>
      </c>
      <c r="M39" s="325">
        <v>32</v>
      </c>
      <c r="N39" s="284" t="s">
        <v>2552</v>
      </c>
      <c r="O39" s="627">
        <v>0.66110000000000002</v>
      </c>
      <c r="P39" s="325">
        <v>35</v>
      </c>
      <c r="Q39" s="284" t="s">
        <v>2553</v>
      </c>
      <c r="R39" s="627">
        <v>0.66110000000000002</v>
      </c>
      <c r="S39" s="325">
        <v>35</v>
      </c>
      <c r="T39" s="284" t="s">
        <v>2554</v>
      </c>
      <c r="U39" s="627">
        <v>0.65939999999999999</v>
      </c>
      <c r="V39" s="325">
        <v>44</v>
      </c>
      <c r="W39" s="284" t="s">
        <v>2322</v>
      </c>
      <c r="X39" s="627">
        <v>0.65939999999999999</v>
      </c>
      <c r="Y39" s="325">
        <v>40</v>
      </c>
      <c r="Z39" s="284" t="s">
        <v>2323</v>
      </c>
      <c r="AA39" s="627">
        <v>0.64329999999999998</v>
      </c>
      <c r="AB39" s="325">
        <v>34</v>
      </c>
      <c r="AC39" s="284" t="s">
        <v>2324</v>
      </c>
      <c r="AD39" s="627">
        <v>0.64170000000000005</v>
      </c>
      <c r="AE39" s="325">
        <v>35</v>
      </c>
      <c r="AF39" s="284" t="s">
        <v>2325</v>
      </c>
      <c r="AG39" s="627">
        <v>0.64059999999999995</v>
      </c>
      <c r="AH39" s="325">
        <v>32</v>
      </c>
      <c r="AI39" s="284" t="s">
        <v>2326</v>
      </c>
      <c r="AJ39" s="627">
        <v>0.6361</v>
      </c>
      <c r="AK39" s="325">
        <v>26</v>
      </c>
      <c r="AL39" s="284" t="s">
        <v>2327</v>
      </c>
      <c r="AM39" s="627">
        <v>0.63</v>
      </c>
      <c r="AN39" s="325">
        <v>37</v>
      </c>
      <c r="AO39" s="284" t="s">
        <v>4195</v>
      </c>
      <c r="AP39" s="627">
        <v>0.62280000000000002</v>
      </c>
      <c r="AQ39" s="325">
        <v>37</v>
      </c>
      <c r="AR39" s="284" t="s">
        <v>4196</v>
      </c>
      <c r="AS39" s="627">
        <v>0.61939999999999995</v>
      </c>
      <c r="AT39" s="325">
        <v>34</v>
      </c>
      <c r="AU39" s="284" t="s">
        <v>4197</v>
      </c>
      <c r="AV39" s="627">
        <v>0.61170000000000002</v>
      </c>
      <c r="AW39" s="325">
        <v>33</v>
      </c>
      <c r="AX39" s="284" t="s">
        <v>4198</v>
      </c>
      <c r="AY39" s="627">
        <v>0.60219999999999996</v>
      </c>
      <c r="AZ39" s="325">
        <v>25</v>
      </c>
      <c r="BA39" s="284" t="s">
        <v>4199</v>
      </c>
      <c r="BB39" s="627">
        <v>0.59940000000000004</v>
      </c>
      <c r="BC39" s="325">
        <v>29</v>
      </c>
      <c r="BD39" s="284" t="s">
        <v>4200</v>
      </c>
      <c r="BE39" s="627">
        <v>0.59560000000000002</v>
      </c>
      <c r="BF39" s="325">
        <v>16</v>
      </c>
      <c r="BG39" s="284" t="s">
        <v>4201</v>
      </c>
      <c r="BH39" s="627">
        <v>0.58940000000000003</v>
      </c>
      <c r="BI39" s="325">
        <v>19</v>
      </c>
      <c r="BJ39" s="284" t="s">
        <v>4202</v>
      </c>
      <c r="BK39" s="627">
        <v>0.58779999999999999</v>
      </c>
      <c r="BL39" s="325">
        <v>16</v>
      </c>
      <c r="BM39" s="284" t="s">
        <v>4203</v>
      </c>
      <c r="BN39" s="627">
        <v>0.58499999999999996</v>
      </c>
      <c r="BO39" s="325">
        <v>29</v>
      </c>
      <c r="BP39" s="284" t="s">
        <v>4204</v>
      </c>
      <c r="BQ39" s="627">
        <v>0.56779999999999997</v>
      </c>
      <c r="BR39" s="325">
        <v>37</v>
      </c>
      <c r="BS39" s="284" t="s">
        <v>4205</v>
      </c>
      <c r="BT39" s="627">
        <v>0.55940000000000001</v>
      </c>
      <c r="BU39" s="325">
        <v>17</v>
      </c>
      <c r="BV39" s="284" t="s">
        <v>4206</v>
      </c>
      <c r="BW39" s="627">
        <v>0.55330000000000001</v>
      </c>
      <c r="BX39" s="325">
        <v>21</v>
      </c>
      <c r="BY39" s="284" t="s">
        <v>4207</v>
      </c>
      <c r="BZ39" s="627">
        <v>0.55059999999999998</v>
      </c>
      <c r="CA39" s="325">
        <v>24</v>
      </c>
      <c r="CB39" s="284" t="s">
        <v>4208</v>
      </c>
      <c r="CC39" s="627">
        <v>0.54110000000000003</v>
      </c>
      <c r="CD39" s="325">
        <v>26</v>
      </c>
      <c r="CE39" s="284" t="s">
        <v>4209</v>
      </c>
      <c r="CF39" s="627">
        <v>0.53059999999999996</v>
      </c>
      <c r="CG39" s="325">
        <v>23</v>
      </c>
      <c r="CH39" s="284" t="s">
        <v>4210</v>
      </c>
      <c r="CI39" s="627">
        <v>0.52500000000000002</v>
      </c>
      <c r="CJ39" s="325">
        <v>17</v>
      </c>
      <c r="CK39" s="284" t="s">
        <v>4211</v>
      </c>
      <c r="CL39" s="627">
        <v>0.52329999999999999</v>
      </c>
      <c r="CM39" s="325">
        <v>19</v>
      </c>
      <c r="CN39" s="284" t="s">
        <v>4212</v>
      </c>
      <c r="CO39" s="627">
        <v>0.51670000000000005</v>
      </c>
      <c r="CP39" s="325">
        <v>12</v>
      </c>
      <c r="CQ39" s="284" t="s">
        <v>4213</v>
      </c>
      <c r="CR39" s="627">
        <v>0.4889</v>
      </c>
      <c r="CS39" s="325">
        <v>17</v>
      </c>
      <c r="CT39" s="284" t="s">
        <v>4214</v>
      </c>
      <c r="CU39" s="627">
        <v>0.48060000000000003</v>
      </c>
      <c r="CV39" s="325">
        <v>21</v>
      </c>
      <c r="CW39" s="284" t="s">
        <v>4215</v>
      </c>
      <c r="CX39" s="627">
        <v>0.46829999999999999</v>
      </c>
      <c r="CY39" s="325">
        <v>19</v>
      </c>
      <c r="CZ39" s="284" t="s">
        <v>4216</v>
      </c>
      <c r="DA39" s="627">
        <v>0.36330000000000001</v>
      </c>
      <c r="DB39" s="325">
        <v>14</v>
      </c>
      <c r="DD39" s="627"/>
      <c r="DE39" s="325"/>
      <c r="DG39" s="324"/>
      <c r="DH39" s="325"/>
      <c r="DJ39" s="324"/>
      <c r="DK39" s="325"/>
      <c r="DM39" s="324"/>
      <c r="DN39" s="325"/>
      <c r="DP39" s="324"/>
      <c r="DQ39" s="325"/>
      <c r="DS39" s="324"/>
      <c r="DT39" s="325"/>
      <c r="DV39" s="324"/>
      <c r="DW39" s="325"/>
      <c r="DY39" s="324"/>
      <c r="DZ39" s="324"/>
      <c r="EA39" s="630">
        <f>+C39+F39+I39+L39+O39+R39+U39+X39+AA39+AD39+AG39+AJ39+AM39+AP39+AS39+AV39+AY39+BB39+BE39+BH39+BK39+BN39+BQ39+BT39+BW39+BZ39+CC39+CF39+CI39+CL39+CO39+CR39+CU39+CX39+DA39+DD39+DG39+DJ39+DM39+DP39+DS39+DV39+DY39+'Chorus Champs'!C39+'Chorus Champs'!F39+'Chorus Champs'!I39</f>
        <v>22.951000000000001</v>
      </c>
      <c r="EB39" s="475">
        <v>38</v>
      </c>
      <c r="EC39" s="630">
        <f t="shared" si="0"/>
        <v>0.60399999999999998</v>
      </c>
      <c r="ED39" s="475">
        <f>+D39+G39+J39+M39+P39+S39+V39+Y39+AB39+AE39+AH39+AK39+AN39+AQ39+AT39+AW39+AZ39+BC39+BF39+BI39+BL39+BO39+BR39+BU39+BX39+CA39+CD39+CG39+CJ39+CM39+CP39+CS39+CV39+CY39+DB39+DE39+DH39+DK39+DN39+DQ39+DT39+DW39+DZ39+'Chorus Champs'!D39+'Chorus Champs'!G39+'Chorus Champs'!J39</f>
        <v>1115</v>
      </c>
      <c r="EE39" s="475">
        <f t="shared" si="1"/>
        <v>29</v>
      </c>
    </row>
    <row r="40" spans="1:135" s="284" customFormat="1" ht="18" customHeight="1" x14ac:dyDescent="0.2">
      <c r="A40" s="283">
        <v>2009</v>
      </c>
      <c r="B40" s="284" t="s">
        <v>4268</v>
      </c>
      <c r="C40" s="627">
        <v>0.73329999999999995</v>
      </c>
      <c r="D40" s="325">
        <v>44</v>
      </c>
      <c r="E40" s="284" t="s">
        <v>2548</v>
      </c>
      <c r="F40" s="627">
        <v>0.72719999999999996</v>
      </c>
      <c r="G40" s="325">
        <v>39</v>
      </c>
      <c r="H40" s="284" t="s">
        <v>2549</v>
      </c>
      <c r="I40" s="627">
        <v>0.69610000000000005</v>
      </c>
      <c r="J40" s="287">
        <v>52</v>
      </c>
      <c r="K40" s="284" t="s">
        <v>2550</v>
      </c>
      <c r="L40" s="627">
        <v>0.67390000000000005</v>
      </c>
      <c r="M40" s="325">
        <v>24</v>
      </c>
      <c r="N40" s="284" t="s">
        <v>2551</v>
      </c>
      <c r="O40" s="627">
        <v>0.67169999999999996</v>
      </c>
      <c r="P40" s="325">
        <v>35</v>
      </c>
      <c r="Q40" s="284" t="s">
        <v>2554</v>
      </c>
      <c r="R40" s="627">
        <v>0.66890000000000005</v>
      </c>
      <c r="S40" s="325">
        <v>51</v>
      </c>
      <c r="T40" s="284" t="s">
        <v>2327</v>
      </c>
      <c r="U40" s="627">
        <v>0.62390000000000001</v>
      </c>
      <c r="V40" s="325">
        <v>40</v>
      </c>
      <c r="W40" s="284" t="s">
        <v>4195</v>
      </c>
      <c r="X40" s="627">
        <v>0.61560000000000004</v>
      </c>
      <c r="Y40" s="325">
        <v>35</v>
      </c>
      <c r="Z40" s="284" t="s">
        <v>2325</v>
      </c>
      <c r="AA40" s="627">
        <v>0.6139</v>
      </c>
      <c r="AB40" s="325">
        <v>32</v>
      </c>
      <c r="AC40" s="284" t="s">
        <v>2553</v>
      </c>
      <c r="AD40" s="627">
        <v>0.61170000000000002</v>
      </c>
      <c r="AE40" s="325">
        <v>30</v>
      </c>
      <c r="AF40" s="284" t="s">
        <v>4277</v>
      </c>
      <c r="AG40" s="627">
        <v>0.60060000000000002</v>
      </c>
      <c r="AH40" s="325">
        <v>32</v>
      </c>
      <c r="AI40" s="284" t="s">
        <v>4217</v>
      </c>
      <c r="AJ40" s="627">
        <v>0.5978</v>
      </c>
      <c r="AK40" s="325">
        <v>32</v>
      </c>
      <c r="AL40" s="284" t="s">
        <v>4218</v>
      </c>
      <c r="AM40" s="627">
        <v>0.59060000000000001</v>
      </c>
      <c r="AN40" s="325">
        <v>22</v>
      </c>
      <c r="AO40" s="284" t="s">
        <v>4219</v>
      </c>
      <c r="AP40" s="627">
        <v>0.58720000000000006</v>
      </c>
      <c r="AQ40" s="325">
        <v>19</v>
      </c>
      <c r="AR40" s="284" t="s">
        <v>4220</v>
      </c>
      <c r="AS40" s="627">
        <v>0.5867</v>
      </c>
      <c r="AT40" s="325">
        <v>32</v>
      </c>
      <c r="AU40" s="284" t="s">
        <v>4221</v>
      </c>
      <c r="AV40" s="627">
        <v>0.57940000000000003</v>
      </c>
      <c r="AW40" s="325">
        <v>32</v>
      </c>
      <c r="AX40" s="284" t="s">
        <v>2323</v>
      </c>
      <c r="AY40" s="627">
        <v>0.5756</v>
      </c>
      <c r="AZ40" s="325">
        <v>32</v>
      </c>
      <c r="BA40" s="284" t="s">
        <v>4222</v>
      </c>
      <c r="BB40" s="627">
        <v>0.57440000000000002</v>
      </c>
      <c r="BC40" s="325">
        <v>22</v>
      </c>
      <c r="BD40" s="284" t="s">
        <v>4198</v>
      </c>
      <c r="BE40" s="627">
        <v>0.55279999999999996</v>
      </c>
      <c r="BF40" s="325">
        <v>19</v>
      </c>
      <c r="BG40" s="284" t="s">
        <v>4201</v>
      </c>
      <c r="BH40" s="627">
        <v>0.55059999999999998</v>
      </c>
      <c r="BI40" s="325">
        <v>21</v>
      </c>
      <c r="BJ40" s="284" t="s">
        <v>4196</v>
      </c>
      <c r="BK40" s="627">
        <v>0.55000000000000004</v>
      </c>
      <c r="BL40" s="325">
        <v>31</v>
      </c>
      <c r="BM40" s="284" t="s">
        <v>4199</v>
      </c>
      <c r="BN40" s="627">
        <v>0.54830000000000001</v>
      </c>
      <c r="BO40" s="325">
        <v>28</v>
      </c>
      <c r="BP40" s="284" t="s">
        <v>4200</v>
      </c>
      <c r="BQ40" s="627">
        <v>0.54500000000000004</v>
      </c>
      <c r="BR40" s="325">
        <v>18</v>
      </c>
      <c r="BS40" s="284" t="s">
        <v>4223</v>
      </c>
      <c r="BT40" s="627">
        <v>0.53559999999999997</v>
      </c>
      <c r="BU40" s="325">
        <v>15</v>
      </c>
      <c r="BV40" s="284" t="s">
        <v>4208</v>
      </c>
      <c r="BW40" s="627">
        <v>0.51670000000000005</v>
      </c>
      <c r="BX40" s="325">
        <v>19</v>
      </c>
      <c r="BY40" s="284" t="s">
        <v>4197</v>
      </c>
      <c r="BZ40" s="627">
        <v>0.5161</v>
      </c>
      <c r="CA40" s="325">
        <v>22</v>
      </c>
      <c r="CB40" s="284" t="s">
        <v>4207</v>
      </c>
      <c r="CC40" s="627">
        <v>0.51559999999999995</v>
      </c>
      <c r="CD40" s="325">
        <v>25</v>
      </c>
      <c r="CE40" s="284" t="s">
        <v>4224</v>
      </c>
      <c r="CF40" s="627">
        <v>0.51329999999999998</v>
      </c>
      <c r="CG40" s="325">
        <v>15</v>
      </c>
      <c r="CH40" s="284" t="s">
        <v>4213</v>
      </c>
      <c r="CI40" s="627">
        <v>0.47560000000000002</v>
      </c>
      <c r="CJ40" s="325">
        <v>17</v>
      </c>
      <c r="CK40" s="284" t="s">
        <v>4225</v>
      </c>
      <c r="CL40" s="627">
        <v>0.43830000000000002</v>
      </c>
      <c r="CM40" s="325">
        <v>16</v>
      </c>
      <c r="CO40" s="627"/>
      <c r="CP40" s="325"/>
      <c r="CR40" s="627"/>
      <c r="CS40" s="325"/>
      <c r="CU40" s="627"/>
      <c r="CV40" s="325"/>
      <c r="CX40" s="627"/>
      <c r="CY40" s="325"/>
      <c r="DA40" s="627"/>
      <c r="DB40" s="325"/>
      <c r="DD40" s="627"/>
      <c r="DE40" s="325"/>
      <c r="DG40" s="324"/>
      <c r="DH40" s="325"/>
      <c r="DJ40" s="324"/>
      <c r="DK40" s="325"/>
      <c r="DM40" s="324"/>
      <c r="DN40" s="325"/>
      <c r="DP40" s="324"/>
      <c r="DQ40" s="325"/>
      <c r="DS40" s="324"/>
      <c r="DT40" s="325"/>
      <c r="DV40" s="324"/>
      <c r="DW40" s="325"/>
      <c r="DY40" s="324"/>
      <c r="DZ40" s="324"/>
      <c r="EA40" s="630">
        <f>+C40+F40+I40+L40+O40+R40+U40+X40+AA40+AD40+AG40+AJ40+AM40+AP40+AS40+AV40+AY40+BB40+BE40+BH40+BK40+BN40+BQ40+BT40+BW40+BZ40+CC40+CF40+CI40+CL40+CO40+CR40+CU40+CX40+DA40+DD40+DG40+DJ40+DM40+DP40+DS40+DV40+DY40+'Chorus Champs'!C40+'Chorus Champs'!F40+'Chorus Champs'!I40</f>
        <v>19.855799999999999</v>
      </c>
      <c r="EB40" s="475">
        <v>33</v>
      </c>
      <c r="EC40" s="630">
        <f t="shared" si="0"/>
        <v>0.60170000000000001</v>
      </c>
      <c r="ED40" s="475">
        <f>+D40+G40+J40+M40+P40+S40+V40+Y40+AB40+AE40+AH40+AK40+AN40+AQ40+AT40+AW40+AZ40+BC40+BF40+BI40+BL40+BO40+BR40+BU40+BX40+CA40+CD40+CG40+CJ40+CM40+CP40+CS40+CV40+CY40+DB40+DE40+DH40+DK40+DN40+DQ40+DT40+DW40+DZ40+'Chorus Champs'!D40+'Chorus Champs'!G40+'Chorus Champs'!J40</f>
        <v>999</v>
      </c>
      <c r="EE40" s="475">
        <f t="shared" si="1"/>
        <v>30</v>
      </c>
    </row>
    <row r="41" spans="1:135" s="284" customFormat="1" ht="18" customHeight="1" x14ac:dyDescent="0.2">
      <c r="A41" s="283">
        <v>2010</v>
      </c>
      <c r="B41" s="284" t="s">
        <v>4268</v>
      </c>
      <c r="C41" s="627">
        <v>0.72170000000000001</v>
      </c>
      <c r="D41" s="325">
        <v>42</v>
      </c>
      <c r="E41" s="284" t="s">
        <v>3615</v>
      </c>
      <c r="F41" s="627">
        <v>0.70669999999999999</v>
      </c>
      <c r="G41" s="325">
        <v>36</v>
      </c>
      <c r="H41" s="284" t="s">
        <v>2548</v>
      </c>
      <c r="I41" s="627">
        <v>0.7056</v>
      </c>
      <c r="J41" s="287">
        <v>35</v>
      </c>
      <c r="K41" s="284" t="s">
        <v>2554</v>
      </c>
      <c r="L41" s="627">
        <v>0.68500000000000005</v>
      </c>
      <c r="M41" s="325">
        <v>56</v>
      </c>
      <c r="N41" s="284" t="s">
        <v>2549</v>
      </c>
      <c r="O41" s="627">
        <v>0.68440000000000001</v>
      </c>
      <c r="P41" s="325">
        <v>62</v>
      </c>
      <c r="Q41" s="284" t="s">
        <v>3616</v>
      </c>
      <c r="R41" s="627">
        <v>0.66500000000000004</v>
      </c>
      <c r="S41" s="325">
        <v>34</v>
      </c>
      <c r="T41" s="284" t="s">
        <v>3617</v>
      </c>
      <c r="U41" s="627">
        <v>0.66110000000000002</v>
      </c>
      <c r="V41" s="325">
        <v>15</v>
      </c>
      <c r="W41" s="284" t="s">
        <v>2551</v>
      </c>
      <c r="X41" s="627">
        <v>0.66</v>
      </c>
      <c r="Y41" s="325">
        <v>34</v>
      </c>
      <c r="Z41" s="284" t="s">
        <v>676</v>
      </c>
      <c r="AA41" s="627">
        <v>0.64610000000000001</v>
      </c>
      <c r="AB41" s="325">
        <v>60</v>
      </c>
      <c r="AC41" s="284" t="s">
        <v>2322</v>
      </c>
      <c r="AD41" s="627">
        <v>0.64559999999999995</v>
      </c>
      <c r="AE41" s="325">
        <v>47</v>
      </c>
      <c r="AF41" s="284" t="s">
        <v>2327</v>
      </c>
      <c r="AG41" s="627">
        <v>0.63109999999999999</v>
      </c>
      <c r="AH41" s="325">
        <v>45</v>
      </c>
      <c r="AI41" s="284" t="s">
        <v>677</v>
      </c>
      <c r="AJ41" s="627">
        <v>0.62060000000000004</v>
      </c>
      <c r="AK41" s="325">
        <v>32</v>
      </c>
      <c r="AL41" s="284" t="s">
        <v>678</v>
      </c>
      <c r="AM41" s="627">
        <v>0.60560000000000003</v>
      </c>
      <c r="AN41" s="325">
        <v>35</v>
      </c>
      <c r="AO41" s="284" t="s">
        <v>2325</v>
      </c>
      <c r="AP41" s="627">
        <v>0.59330000000000005</v>
      </c>
      <c r="AQ41" s="325">
        <v>26</v>
      </c>
      <c r="AR41" s="284" t="s">
        <v>679</v>
      </c>
      <c r="AS41" s="627">
        <v>0.57609999999999995</v>
      </c>
      <c r="AT41" s="325">
        <v>25</v>
      </c>
      <c r="AU41" s="284" t="s">
        <v>680</v>
      </c>
      <c r="AV41" s="627">
        <v>0.57169999999999999</v>
      </c>
      <c r="AW41" s="325">
        <v>33</v>
      </c>
      <c r="AX41" s="284" t="s">
        <v>681</v>
      </c>
      <c r="AY41" s="627">
        <v>0.56559999999999999</v>
      </c>
      <c r="AZ41" s="325">
        <v>12</v>
      </c>
      <c r="BA41" s="284" t="s">
        <v>682</v>
      </c>
      <c r="BB41" s="627">
        <v>0.56499999999999995</v>
      </c>
      <c r="BC41" s="325">
        <v>33</v>
      </c>
      <c r="BD41" s="284" t="s">
        <v>683</v>
      </c>
      <c r="BE41" s="627">
        <v>0.56389999999999996</v>
      </c>
      <c r="BF41" s="325">
        <v>28</v>
      </c>
      <c r="BG41" s="284" t="s">
        <v>4218</v>
      </c>
      <c r="BH41" s="627">
        <v>0.55830000000000002</v>
      </c>
      <c r="BI41" s="325">
        <v>24</v>
      </c>
      <c r="BJ41" s="284" t="s">
        <v>684</v>
      </c>
      <c r="BK41" s="627">
        <v>0.55559999999999998</v>
      </c>
      <c r="BL41" s="325">
        <v>23</v>
      </c>
      <c r="BM41" s="284" t="s">
        <v>4223</v>
      </c>
      <c r="BN41" s="627">
        <v>0.55330000000000001</v>
      </c>
      <c r="BO41" s="325">
        <v>18</v>
      </c>
      <c r="BP41" s="284" t="s">
        <v>4201</v>
      </c>
      <c r="BQ41" s="627">
        <v>0.55220000000000002</v>
      </c>
      <c r="BR41" s="325">
        <v>23</v>
      </c>
      <c r="BS41" s="284" t="s">
        <v>4207</v>
      </c>
      <c r="BT41" s="627">
        <v>0.53890000000000005</v>
      </c>
      <c r="BU41" s="325">
        <v>31</v>
      </c>
      <c r="BV41" s="284" t="s">
        <v>3947</v>
      </c>
      <c r="BW41" s="627">
        <v>0.52939999999999998</v>
      </c>
      <c r="BX41" s="325">
        <v>37</v>
      </c>
      <c r="BY41" s="284" t="s">
        <v>3799</v>
      </c>
      <c r="BZ41" s="627">
        <v>0.52829999999999999</v>
      </c>
      <c r="CA41" s="325">
        <v>18</v>
      </c>
      <c r="CB41" s="284" t="s">
        <v>3800</v>
      </c>
      <c r="CC41" s="627">
        <v>0.5272</v>
      </c>
      <c r="CD41" s="325">
        <v>25</v>
      </c>
      <c r="CE41" s="284" t="s">
        <v>3801</v>
      </c>
      <c r="CF41" s="627">
        <v>0.5272</v>
      </c>
      <c r="CG41" s="325">
        <v>16</v>
      </c>
      <c r="CH41" s="284" t="s">
        <v>4208</v>
      </c>
      <c r="CI41" s="627">
        <v>0.51390000000000002</v>
      </c>
      <c r="CJ41" s="325">
        <v>24</v>
      </c>
      <c r="CK41" s="284" t="s">
        <v>4221</v>
      </c>
      <c r="CL41" s="627">
        <v>0.50439999999999996</v>
      </c>
      <c r="CM41" s="325">
        <v>32</v>
      </c>
      <c r="CN41" s="284" t="s">
        <v>3802</v>
      </c>
      <c r="CO41" s="627">
        <v>0.49280000000000002</v>
      </c>
      <c r="CP41" s="325">
        <v>17</v>
      </c>
      <c r="CQ41" s="284" t="s">
        <v>4196</v>
      </c>
      <c r="CR41" s="627">
        <v>0.49109999999999998</v>
      </c>
      <c r="CS41" s="325">
        <v>20</v>
      </c>
      <c r="CT41" s="284" t="s">
        <v>3803</v>
      </c>
      <c r="CU41" s="627">
        <v>0.46939999999999998</v>
      </c>
      <c r="CV41" s="325">
        <v>36</v>
      </c>
      <c r="CW41" s="284" t="s">
        <v>3804</v>
      </c>
      <c r="CX41" s="627">
        <v>0.44669999999999999</v>
      </c>
      <c r="CY41" s="325">
        <v>19</v>
      </c>
      <c r="DA41" s="627"/>
      <c r="DB41" s="325"/>
      <c r="DD41" s="627"/>
      <c r="DE41" s="325"/>
      <c r="DG41" s="324"/>
      <c r="DH41" s="325"/>
      <c r="DJ41" s="324"/>
      <c r="DK41" s="325"/>
      <c r="DM41" s="324"/>
      <c r="DN41" s="325"/>
      <c r="DP41" s="324"/>
      <c r="DQ41" s="325"/>
      <c r="DS41" s="324"/>
      <c r="DT41" s="325"/>
      <c r="DV41" s="324"/>
      <c r="DW41" s="325"/>
      <c r="DY41" s="324"/>
      <c r="DZ41" s="324"/>
      <c r="EA41" s="630">
        <f>+C41+F41+I41+L41+O41+R41+U41+X41+AA41+AD41+AG41+AJ41+AM41+AP41+AS41+AV41+AY41+BB41+BE41+BH41+BK41+BN41+BQ41+BT41+BW41+BZ41+CC41+CF41+CI41+CL41+CO41+CR41+CU41+CX41+DA41+DD41+DG41+DJ41+DM41+DP41+DS41+DV41+DY41+'Chorus Champs'!C41+'Chorus Champs'!F41+'Chorus Champs'!I41</f>
        <v>22.1617</v>
      </c>
      <c r="EB41" s="475">
        <v>37</v>
      </c>
      <c r="EC41" s="630">
        <f t="shared" si="0"/>
        <v>0.59899999999999998</v>
      </c>
      <c r="ED41" s="475">
        <f>+D41+G41+J41+M41+P41+S41+V41+Y41+AB41+AE41+AH41+AK41+AN41+AQ41+AT41+AW41+AZ41+BC41+BF41+BI41+BL41+BO41+BR41+BU41+BX41+CA41+CD41+CG41+CJ41+CM41+CP41+CS41+CV41+CY41+DB41+DE41+DH41+DK41+DN41+DQ41+DT41+DW41+DZ41+'Chorus Champs'!D41+'Chorus Champs'!G41+'Chorus Champs'!J41</f>
        <v>1205</v>
      </c>
      <c r="EE41" s="475">
        <f t="shared" si="1"/>
        <v>33</v>
      </c>
    </row>
    <row r="42" spans="1:135" s="284" customFormat="1" ht="18" customHeight="1" x14ac:dyDescent="0.2">
      <c r="A42" s="283">
        <v>2011</v>
      </c>
      <c r="B42" s="284" t="s">
        <v>3805</v>
      </c>
      <c r="C42" s="627">
        <v>0.73329999999999995</v>
      </c>
      <c r="D42" s="325">
        <v>53</v>
      </c>
      <c r="E42" s="284" t="s">
        <v>4268</v>
      </c>
      <c r="F42" s="627">
        <v>0.70279999999999998</v>
      </c>
      <c r="G42" s="325">
        <v>42</v>
      </c>
      <c r="H42" s="284" t="s">
        <v>2842</v>
      </c>
      <c r="I42" s="627">
        <v>0.69</v>
      </c>
      <c r="J42" s="287">
        <v>59</v>
      </c>
      <c r="K42" s="284" t="s">
        <v>2550</v>
      </c>
      <c r="L42" s="627">
        <v>0.68779999999999997</v>
      </c>
      <c r="M42" s="325">
        <v>51</v>
      </c>
      <c r="N42" s="284" t="s">
        <v>2551</v>
      </c>
      <c r="O42" s="627">
        <v>0.66390000000000005</v>
      </c>
      <c r="P42" s="325">
        <v>32</v>
      </c>
      <c r="Q42" s="284" t="s">
        <v>2843</v>
      </c>
      <c r="R42" s="627">
        <v>0.64170000000000005</v>
      </c>
      <c r="S42" s="325">
        <v>48</v>
      </c>
      <c r="T42" s="284" t="s">
        <v>332</v>
      </c>
      <c r="U42" s="627">
        <v>0.63560000000000005</v>
      </c>
      <c r="V42" s="325">
        <v>34</v>
      </c>
      <c r="W42" s="284" t="s">
        <v>2554</v>
      </c>
      <c r="X42" s="627">
        <v>0.62939999999999996</v>
      </c>
      <c r="Y42" s="325">
        <v>47</v>
      </c>
      <c r="Z42" s="284" t="s">
        <v>2844</v>
      </c>
      <c r="AA42" s="627">
        <v>0.62060000000000004</v>
      </c>
      <c r="AB42" s="325">
        <v>38</v>
      </c>
      <c r="AC42" s="284" t="s">
        <v>2845</v>
      </c>
      <c r="AD42" s="627">
        <v>0.6089</v>
      </c>
      <c r="AE42" s="325">
        <v>37</v>
      </c>
      <c r="AF42" s="284" t="s">
        <v>2846</v>
      </c>
      <c r="AG42" s="627">
        <v>0.60219999999999996</v>
      </c>
      <c r="AH42" s="325">
        <v>30</v>
      </c>
      <c r="AI42" s="284" t="s">
        <v>676</v>
      </c>
      <c r="AJ42" s="627">
        <v>0.60060000000000002</v>
      </c>
      <c r="AK42" s="325">
        <v>34</v>
      </c>
      <c r="AL42" s="284" t="s">
        <v>2847</v>
      </c>
      <c r="AM42" s="627">
        <v>0.60060000000000002</v>
      </c>
      <c r="AN42" s="325">
        <v>35</v>
      </c>
      <c r="AO42" s="284" t="s">
        <v>2325</v>
      </c>
      <c r="AP42" s="627">
        <v>0.59889999999999999</v>
      </c>
      <c r="AQ42" s="325">
        <v>25</v>
      </c>
      <c r="AR42" s="284" t="s">
        <v>4218</v>
      </c>
      <c r="AS42" s="627">
        <v>0.59609999999999996</v>
      </c>
      <c r="AT42" s="325">
        <v>29</v>
      </c>
      <c r="AU42" s="284" t="s">
        <v>3810</v>
      </c>
      <c r="AV42" s="627">
        <v>0.59330000000000005</v>
      </c>
      <c r="AW42" s="325">
        <v>35</v>
      </c>
      <c r="AX42" s="284" t="s">
        <v>3617</v>
      </c>
      <c r="AY42" s="627">
        <v>0.57669999999999999</v>
      </c>
      <c r="AZ42" s="325">
        <v>13</v>
      </c>
      <c r="BA42" s="284" t="s">
        <v>2848</v>
      </c>
      <c r="BB42" s="627">
        <v>0.57330000000000003</v>
      </c>
      <c r="BC42" s="325">
        <v>25</v>
      </c>
      <c r="BD42" s="284" t="s">
        <v>4207</v>
      </c>
      <c r="BE42" s="627">
        <v>0.57110000000000005</v>
      </c>
      <c r="BF42" s="325">
        <v>33</v>
      </c>
      <c r="BG42" s="284" t="s">
        <v>4223</v>
      </c>
      <c r="BH42" s="627">
        <v>0.54830000000000001</v>
      </c>
      <c r="BI42" s="325">
        <v>16</v>
      </c>
      <c r="BJ42" s="284" t="s">
        <v>2849</v>
      </c>
      <c r="BK42" s="627">
        <v>0.53890000000000005</v>
      </c>
      <c r="BL42" s="325">
        <v>14</v>
      </c>
      <c r="BM42" s="284" t="s">
        <v>1649</v>
      </c>
      <c r="BN42" s="627">
        <v>0.53280000000000005</v>
      </c>
      <c r="BO42" s="325">
        <v>22</v>
      </c>
      <c r="BP42" s="284" t="s">
        <v>3800</v>
      </c>
      <c r="BQ42" s="627">
        <v>0.52610000000000001</v>
      </c>
      <c r="BR42" s="325">
        <v>27</v>
      </c>
      <c r="BS42" s="284" t="s">
        <v>2850</v>
      </c>
      <c r="BT42" s="627">
        <v>0.52280000000000004</v>
      </c>
      <c r="BU42" s="325">
        <v>28</v>
      </c>
      <c r="BV42" s="284" t="s">
        <v>2851</v>
      </c>
      <c r="BW42" s="627">
        <v>0.51719999999999999</v>
      </c>
      <c r="BX42" s="325">
        <v>35</v>
      </c>
      <c r="BY42" s="284" t="s">
        <v>4221</v>
      </c>
      <c r="BZ42" s="627">
        <v>0.51060000000000005</v>
      </c>
      <c r="CA42" s="325">
        <v>17</v>
      </c>
      <c r="CB42" s="284" t="s">
        <v>2852</v>
      </c>
      <c r="CC42" s="627">
        <v>0.50829999999999997</v>
      </c>
      <c r="CD42" s="325">
        <v>19</v>
      </c>
      <c r="CE42" s="284" t="s">
        <v>4208</v>
      </c>
      <c r="CF42" s="627">
        <v>0.47439999999999999</v>
      </c>
      <c r="CG42" s="325">
        <v>15</v>
      </c>
      <c r="CH42" s="284" t="s">
        <v>2853</v>
      </c>
      <c r="CI42" s="627">
        <v>0.47060000000000002</v>
      </c>
      <c r="CJ42" s="325">
        <v>19</v>
      </c>
      <c r="CK42" s="284" t="s">
        <v>2854</v>
      </c>
      <c r="CL42" s="627">
        <v>0.43440000000000001</v>
      </c>
      <c r="CM42" s="325">
        <v>28</v>
      </c>
      <c r="CO42" s="627"/>
      <c r="CP42" s="325"/>
      <c r="CR42" s="627"/>
      <c r="CS42" s="325"/>
      <c r="CU42" s="627"/>
      <c r="CV42" s="325"/>
      <c r="CX42" s="627"/>
      <c r="CY42" s="325"/>
      <c r="DA42" s="627"/>
      <c r="DB42" s="325"/>
      <c r="DD42" s="627"/>
      <c r="DE42" s="325"/>
      <c r="DG42" s="324"/>
      <c r="DH42" s="325"/>
      <c r="DJ42" s="324"/>
      <c r="DK42" s="325"/>
      <c r="DM42" s="324"/>
      <c r="DN42" s="325"/>
      <c r="DP42" s="324"/>
      <c r="DQ42" s="325"/>
      <c r="DS42" s="324"/>
      <c r="DT42" s="325"/>
      <c r="DV42" s="324"/>
      <c r="DW42" s="325"/>
      <c r="DY42" s="324"/>
      <c r="DZ42" s="324"/>
      <c r="EA42" s="630">
        <f>+C42+F42+I42+L42+O42+R42+U42+X42+AA42+AD42+AG42+AJ42+AM42+AP42+AS42+AV42+AY42+BB42+BE42+BH42+BK42+BN42+BQ42+BT42+BW42+BZ42+CC42+CF42+CI42+CL42+CO42+CR42+CU42+CX42+DA42+DD42+DG42+DJ42+DM42+DP42+DS42+DV42+DY42+'Chorus Champs'!C42+'Chorus Champs'!F42+'Chorus Champs'!I42</f>
        <v>19.755099999999999</v>
      </c>
      <c r="EB42" s="475">
        <v>33</v>
      </c>
      <c r="EC42" s="630">
        <f t="shared" si="0"/>
        <v>0.59860000000000002</v>
      </c>
      <c r="ED42" s="475">
        <f>+D42+G42+J42+M42+P42+S42+V42+Y42+AB42+AE42+AH42+AK42+AN42+AQ42+AT42+AW42+AZ42+BC42+BF42+BI42+BL42+BO42+BR42+BU42+BX42+CA42+CD42+CG42+CJ42+CM42+CP42+CS42+CV42+CY42+DB42+DE42+DH42+DK42+DN42+DQ42+DT42+DW42+DZ42+'Chorus Champs'!D42+'Chorus Champs'!G42+'Chorus Champs'!J42</f>
        <v>1075</v>
      </c>
      <c r="EE42" s="475">
        <f t="shared" si="1"/>
        <v>33</v>
      </c>
    </row>
    <row r="43" spans="1:135" s="284" customFormat="1" ht="18" customHeight="1" x14ac:dyDescent="0.2">
      <c r="A43" s="283">
        <v>2012</v>
      </c>
      <c r="B43" s="284" t="s">
        <v>4027</v>
      </c>
      <c r="C43" s="627">
        <v>0.75060000000000004</v>
      </c>
      <c r="D43" s="325">
        <v>47</v>
      </c>
      <c r="E43" s="284" t="s">
        <v>4028</v>
      </c>
      <c r="F43" s="627">
        <v>0.74560000000000004</v>
      </c>
      <c r="G43" s="325">
        <v>40</v>
      </c>
      <c r="H43" s="284" t="s">
        <v>1773</v>
      </c>
      <c r="I43" s="627">
        <v>0.73109999999999997</v>
      </c>
      <c r="J43" s="287">
        <v>52</v>
      </c>
      <c r="K43" s="284" t="s">
        <v>3617</v>
      </c>
      <c r="L43" s="627">
        <v>0.67559999999999998</v>
      </c>
      <c r="M43" s="325">
        <v>17</v>
      </c>
      <c r="N43" s="284" t="s">
        <v>2551</v>
      </c>
      <c r="O43" s="627">
        <v>0.66500000000000004</v>
      </c>
      <c r="P43" s="325">
        <v>30</v>
      </c>
      <c r="Q43" s="284" t="s">
        <v>4207</v>
      </c>
      <c r="R43" s="627">
        <v>0.65110000000000001</v>
      </c>
      <c r="S43" s="325">
        <v>38</v>
      </c>
      <c r="T43" s="284" t="s">
        <v>109</v>
      </c>
      <c r="U43" s="627">
        <v>0.64610000000000001</v>
      </c>
      <c r="V43" s="325">
        <v>45</v>
      </c>
      <c r="W43" s="284" t="s">
        <v>2845</v>
      </c>
      <c r="X43" s="627">
        <v>0.63560000000000005</v>
      </c>
      <c r="Y43" s="325">
        <v>42</v>
      </c>
      <c r="Z43" s="284" t="s">
        <v>2004</v>
      </c>
      <c r="AA43" s="627">
        <v>0.63219999999999998</v>
      </c>
      <c r="AB43" s="325">
        <v>30</v>
      </c>
      <c r="AC43" s="284" t="s">
        <v>4029</v>
      </c>
      <c r="AD43" s="627">
        <v>0.63</v>
      </c>
      <c r="AE43" s="325">
        <v>33</v>
      </c>
      <c r="AF43" s="284" t="s">
        <v>4030</v>
      </c>
      <c r="AG43" s="627">
        <v>0.63</v>
      </c>
      <c r="AH43" s="325">
        <v>49</v>
      </c>
      <c r="AI43" s="284" t="s">
        <v>1660</v>
      </c>
      <c r="AJ43" s="627">
        <v>0.625</v>
      </c>
      <c r="AK43" s="325">
        <v>40</v>
      </c>
      <c r="AL43" s="284" t="s">
        <v>2846</v>
      </c>
      <c r="AM43" s="627">
        <v>0.61329999999999996</v>
      </c>
      <c r="AN43" s="325">
        <v>41</v>
      </c>
      <c r="AO43" s="284" t="s">
        <v>2310</v>
      </c>
      <c r="AP43" s="627">
        <v>0.60499999999999998</v>
      </c>
      <c r="AQ43" s="325">
        <v>36</v>
      </c>
      <c r="AR43" s="284" t="s">
        <v>2844</v>
      </c>
      <c r="AS43" s="627">
        <v>0.60170000000000001</v>
      </c>
      <c r="AT43" s="325">
        <v>33</v>
      </c>
      <c r="AU43" s="284" t="s">
        <v>4218</v>
      </c>
      <c r="AV43" s="627">
        <v>0.59719999999999995</v>
      </c>
      <c r="AW43" s="325">
        <v>31</v>
      </c>
      <c r="AX43" s="284" t="s">
        <v>2311</v>
      </c>
      <c r="AY43" s="627">
        <v>0.58889999999999998</v>
      </c>
      <c r="AZ43" s="325">
        <v>23</v>
      </c>
      <c r="BA43" s="284" t="s">
        <v>4195</v>
      </c>
      <c r="BB43" s="627">
        <v>0.58779999999999999</v>
      </c>
      <c r="BC43" s="325">
        <v>32</v>
      </c>
      <c r="BD43" s="284" t="s">
        <v>3491</v>
      </c>
      <c r="BE43" s="627">
        <v>0.58220000000000005</v>
      </c>
      <c r="BF43" s="325">
        <v>26</v>
      </c>
      <c r="BG43" s="284" t="s">
        <v>682</v>
      </c>
      <c r="BH43" s="627">
        <v>0.58109999999999995</v>
      </c>
      <c r="BI43" s="325">
        <v>22</v>
      </c>
      <c r="BJ43" s="284" t="s">
        <v>2849</v>
      </c>
      <c r="BK43" s="627">
        <v>0.57220000000000004</v>
      </c>
      <c r="BL43" s="325">
        <v>19</v>
      </c>
      <c r="BM43" s="284" t="s">
        <v>2312</v>
      </c>
      <c r="BN43" s="627">
        <v>0.56440000000000001</v>
      </c>
      <c r="BO43" s="325">
        <v>15</v>
      </c>
      <c r="BP43" s="284" t="s">
        <v>4223</v>
      </c>
      <c r="BQ43" s="627">
        <v>0.56389999999999996</v>
      </c>
      <c r="BR43" s="325">
        <v>20</v>
      </c>
      <c r="BS43" s="284" t="s">
        <v>3495</v>
      </c>
      <c r="BT43" s="627">
        <v>0.54669999999999996</v>
      </c>
      <c r="BU43" s="325">
        <v>18</v>
      </c>
      <c r="BV43" s="284" t="s">
        <v>2850</v>
      </c>
      <c r="BW43" s="627">
        <v>0.54610000000000003</v>
      </c>
      <c r="BX43" s="325">
        <v>27</v>
      </c>
      <c r="BY43" s="284" t="s">
        <v>683</v>
      </c>
      <c r="BZ43" s="627">
        <v>0.54500000000000004</v>
      </c>
      <c r="CA43" s="325">
        <v>24</v>
      </c>
      <c r="CB43" s="284" t="s">
        <v>2313</v>
      </c>
      <c r="CC43" s="627">
        <v>0.53439999999999999</v>
      </c>
      <c r="CD43" s="325">
        <v>20</v>
      </c>
      <c r="CE43" s="284" t="s">
        <v>2314</v>
      </c>
      <c r="CF43" s="627">
        <v>0.53220000000000001</v>
      </c>
      <c r="CG43" s="325">
        <v>27</v>
      </c>
      <c r="CH43" s="284" t="s">
        <v>2315</v>
      </c>
      <c r="CI43" s="627">
        <v>0.53110000000000002</v>
      </c>
      <c r="CJ43" s="325">
        <v>21</v>
      </c>
      <c r="CK43" s="284" t="s">
        <v>2316</v>
      </c>
      <c r="CL43" s="627">
        <v>0.53059999999999996</v>
      </c>
      <c r="CM43" s="325">
        <v>23</v>
      </c>
      <c r="CN43" s="284" t="s">
        <v>3497</v>
      </c>
      <c r="CO43" s="627">
        <v>0.5272</v>
      </c>
      <c r="CP43" s="325">
        <v>12</v>
      </c>
      <c r="CQ43" s="284" t="s">
        <v>3802</v>
      </c>
      <c r="CR43" s="627">
        <v>0.5222</v>
      </c>
      <c r="CS43" s="325">
        <v>16</v>
      </c>
      <c r="CT43" s="284" t="s">
        <v>3803</v>
      </c>
      <c r="CU43" s="627">
        <v>0.51939999999999997</v>
      </c>
      <c r="CV43" s="325">
        <v>31</v>
      </c>
      <c r="CW43" s="284" t="s">
        <v>2317</v>
      </c>
      <c r="CX43" s="627">
        <v>0.51829999999999998</v>
      </c>
      <c r="CY43" s="325">
        <v>17</v>
      </c>
      <c r="CZ43" s="284" t="s">
        <v>2318</v>
      </c>
      <c r="DA43" s="627">
        <v>0.5161</v>
      </c>
      <c r="DB43" s="325">
        <v>13</v>
      </c>
      <c r="DC43" s="284" t="s">
        <v>2319</v>
      </c>
      <c r="DD43" s="627">
        <v>0.50439999999999996</v>
      </c>
      <c r="DE43" s="325">
        <v>30</v>
      </c>
      <c r="DG43" s="324"/>
      <c r="DH43" s="325"/>
      <c r="DJ43" s="627"/>
      <c r="DK43" s="325"/>
      <c r="DM43" s="324"/>
      <c r="DN43" s="325"/>
      <c r="DP43" s="324"/>
      <c r="DQ43" s="325"/>
      <c r="DS43" s="324"/>
      <c r="DT43" s="325"/>
      <c r="DV43" s="324"/>
      <c r="DW43" s="325"/>
      <c r="DY43" s="324"/>
      <c r="DZ43" s="324"/>
      <c r="EA43" s="630">
        <f>+C43+F43+I43+L43+O43+R43+U43+X43+AA43+AD43+AG43+AJ43+AM43+AP43+AS43+AV43+AY43+BB43+BE43+BH43+BK43+BN43+BQ43+BT43+BW43+BZ43+CC43+CF43+CI43+CL43+CO43+CR43+CU43+CX43+DA43+DD43+DG43+DJ43+DM43+DP43+DS43+DV43+DY43+'Chorus Champs'!C43+'Chorus Champs'!F43+'Chorus Champs'!I43</f>
        <v>23.662600000000001</v>
      </c>
      <c r="EB43" s="475">
        <v>39</v>
      </c>
      <c r="EC43" s="630">
        <f t="shared" si="0"/>
        <v>0.60670000000000002</v>
      </c>
      <c r="ED43" s="475">
        <f>+D43+G43+J43+M43+P43+S43+V43+Y43+AB43+AE43+AH43+AK43+AN43+AQ43+AT43+AW43+AZ43+BC43+BF43+BI43+BL43+BO43+BR43+BU43+BX43+CA43+CD43+CG43+CJ43+CM43+CP43+CS43+CV43+CY43+DB43+DE43+DH43+DK43+DN43+DQ43+DT43+DW43+DZ43+'Chorus Champs'!D43+'Chorus Champs'!G43+'Chorus Champs'!J43</f>
        <v>1186</v>
      </c>
      <c r="EE43" s="475">
        <f t="shared" si="1"/>
        <v>30</v>
      </c>
    </row>
    <row r="44" spans="1:135" s="284" customFormat="1" ht="18" customHeight="1" x14ac:dyDescent="0.2">
      <c r="A44" s="283">
        <v>2013</v>
      </c>
      <c r="B44" s="284" t="s">
        <v>3486</v>
      </c>
      <c r="C44" s="627">
        <v>0.77</v>
      </c>
      <c r="D44" s="325">
        <v>51</v>
      </c>
      <c r="E44" s="284" t="s">
        <v>3487</v>
      </c>
      <c r="F44" s="627">
        <v>0.75390000000000001</v>
      </c>
      <c r="G44" s="325">
        <v>37</v>
      </c>
      <c r="H44" s="284" t="s">
        <v>2845</v>
      </c>
      <c r="I44" s="627">
        <v>0.70720000000000005</v>
      </c>
      <c r="J44" s="325">
        <v>52</v>
      </c>
      <c r="K44" s="284" t="s">
        <v>3617</v>
      </c>
      <c r="L44" s="627">
        <v>0.69779999999999998</v>
      </c>
      <c r="M44" s="325">
        <v>21</v>
      </c>
      <c r="N44" s="284" t="s">
        <v>3488</v>
      </c>
      <c r="O44" s="627">
        <v>0.67610000000000003</v>
      </c>
      <c r="P44" s="325">
        <v>46</v>
      </c>
      <c r="Q44" s="284" t="s">
        <v>2551</v>
      </c>
      <c r="R44" s="627">
        <v>0.66720000000000002</v>
      </c>
      <c r="S44" s="325">
        <v>28</v>
      </c>
      <c r="T44" s="284" t="s">
        <v>4029</v>
      </c>
      <c r="U44" s="627">
        <v>0.66059999999999997</v>
      </c>
      <c r="V44" s="325">
        <v>34</v>
      </c>
      <c r="W44" s="284" t="s">
        <v>3489</v>
      </c>
      <c r="X44" s="627">
        <v>0.64500000000000002</v>
      </c>
      <c r="Y44" s="325">
        <v>36</v>
      </c>
      <c r="Z44" s="284" t="s">
        <v>1660</v>
      </c>
      <c r="AA44" s="627">
        <v>0.64329999999999998</v>
      </c>
      <c r="AB44" s="325">
        <v>42</v>
      </c>
      <c r="AC44" s="284" t="s">
        <v>4030</v>
      </c>
      <c r="AD44" s="627">
        <v>0.64</v>
      </c>
      <c r="AE44" s="325">
        <v>42</v>
      </c>
      <c r="AF44" s="284" t="s">
        <v>2844</v>
      </c>
      <c r="AG44" s="627">
        <v>0.63670000000000004</v>
      </c>
      <c r="AH44" s="325">
        <v>48</v>
      </c>
      <c r="AI44" s="284" t="s">
        <v>109</v>
      </c>
      <c r="AJ44" s="627">
        <v>0.6361</v>
      </c>
      <c r="AK44" s="325">
        <v>45</v>
      </c>
      <c r="AL44" s="284" t="s">
        <v>3490</v>
      </c>
      <c r="AM44" s="627">
        <v>0.63500000000000001</v>
      </c>
      <c r="AN44" s="325">
        <v>33</v>
      </c>
      <c r="AO44" s="284" t="s">
        <v>2004</v>
      </c>
      <c r="AP44" s="627">
        <v>0.63390000000000002</v>
      </c>
      <c r="AQ44" s="325">
        <v>37</v>
      </c>
      <c r="AR44" s="284" t="s">
        <v>4207</v>
      </c>
      <c r="AS44" s="627">
        <v>0.625</v>
      </c>
      <c r="AT44" s="325">
        <v>35</v>
      </c>
      <c r="AU44" s="284" t="s">
        <v>2846</v>
      </c>
      <c r="AV44" s="627">
        <v>0.61780000000000002</v>
      </c>
      <c r="AW44" s="325">
        <v>41</v>
      </c>
      <c r="AX44" s="284" t="s">
        <v>3491</v>
      </c>
      <c r="AY44" s="627">
        <v>0.59719999999999995</v>
      </c>
      <c r="AZ44" s="325">
        <v>20</v>
      </c>
      <c r="BA44" s="284" t="s">
        <v>3492</v>
      </c>
      <c r="BB44" s="627">
        <v>0.59109999999999996</v>
      </c>
      <c r="BC44" s="325">
        <v>28</v>
      </c>
      <c r="BD44" s="284" t="s">
        <v>4223</v>
      </c>
      <c r="BE44" s="627">
        <v>0.58109999999999995</v>
      </c>
      <c r="BF44" s="325">
        <v>22</v>
      </c>
      <c r="BG44" s="284" t="s">
        <v>2849</v>
      </c>
      <c r="BH44" s="627">
        <v>0.5806</v>
      </c>
      <c r="BI44" s="325">
        <v>19</v>
      </c>
      <c r="BJ44" s="284" t="s">
        <v>3893</v>
      </c>
      <c r="BK44" s="627">
        <v>0.56499999999999995</v>
      </c>
      <c r="BL44" s="325">
        <v>29</v>
      </c>
      <c r="BM44" s="284" t="s">
        <v>3493</v>
      </c>
      <c r="BN44" s="627">
        <v>0.56220000000000003</v>
      </c>
      <c r="BO44" s="325">
        <v>24</v>
      </c>
      <c r="BP44" s="284" t="s">
        <v>1649</v>
      </c>
      <c r="BQ44" s="627">
        <v>0.55940000000000001</v>
      </c>
      <c r="BR44" s="325">
        <v>15</v>
      </c>
      <c r="BS44" s="284" t="s">
        <v>3494</v>
      </c>
      <c r="BT44" s="627">
        <v>0.55500000000000005</v>
      </c>
      <c r="BU44" s="325">
        <v>21</v>
      </c>
      <c r="BV44" s="284" t="s">
        <v>2315</v>
      </c>
      <c r="BW44" s="627">
        <v>0.5544</v>
      </c>
      <c r="BX44" s="325">
        <v>27</v>
      </c>
      <c r="BY44" s="284" t="s">
        <v>2313</v>
      </c>
      <c r="BZ44" s="627">
        <v>0.54</v>
      </c>
      <c r="CA44" s="325">
        <v>21</v>
      </c>
      <c r="CB44" s="284" t="s">
        <v>683</v>
      </c>
      <c r="CC44" s="627">
        <v>0.53720000000000001</v>
      </c>
      <c r="CD44" s="325">
        <v>24</v>
      </c>
      <c r="CE44" s="284" t="s">
        <v>2310</v>
      </c>
      <c r="CF44" s="627">
        <v>0.5333</v>
      </c>
      <c r="CG44" s="325">
        <v>34</v>
      </c>
      <c r="CH44" s="284" t="s">
        <v>2854</v>
      </c>
      <c r="CI44" s="627">
        <v>0.53220000000000001</v>
      </c>
      <c r="CJ44" s="325">
        <v>24</v>
      </c>
      <c r="CK44" s="284" t="s">
        <v>3496</v>
      </c>
      <c r="CL44" s="627">
        <v>0.51060000000000005</v>
      </c>
      <c r="CM44" s="325">
        <v>34</v>
      </c>
      <c r="CN44" s="284" t="s">
        <v>3498</v>
      </c>
      <c r="CO44" s="627">
        <v>0.46939999999999998</v>
      </c>
      <c r="CP44" s="325">
        <v>18</v>
      </c>
      <c r="CQ44" s="284" t="s">
        <v>3499</v>
      </c>
      <c r="CR44" s="627">
        <v>0.44669999999999999</v>
      </c>
      <c r="CS44" s="325">
        <v>17</v>
      </c>
      <c r="CU44" s="627"/>
      <c r="CV44" s="325"/>
      <c r="CX44" s="627"/>
      <c r="CY44" s="325"/>
      <c r="DA44" s="627"/>
      <c r="DB44" s="325"/>
      <c r="DD44" s="627"/>
      <c r="DE44" s="325"/>
      <c r="DG44" s="324"/>
      <c r="DH44" s="325"/>
      <c r="DJ44" s="627"/>
      <c r="DK44" s="325"/>
      <c r="DM44" s="324"/>
      <c r="DN44" s="325"/>
      <c r="DP44" s="324"/>
      <c r="DQ44" s="325"/>
      <c r="DS44" s="324"/>
      <c r="DT44" s="325"/>
      <c r="DV44" s="324"/>
      <c r="DW44" s="325"/>
      <c r="DY44" s="324"/>
      <c r="DZ44" s="324"/>
      <c r="EA44" s="630">
        <f>+C44+F44+I44+L44+O44+R44+U44+X44+AA44+AD44+AG44+AJ44+AM44+AP44+AS44+AV44+AY44+BB44+BE44+BH44+BK44+BN44+BQ44+BT44+BW44+BZ44+CC44+CF44+CI44+CL44+CO44+CR44+CU44+CX44+DA44+DD44+DG44+DJ44+DM44+DP44+DS44+DV44+DY44+'Chorus Champs'!C44+'Chorus Champs'!F44+'Chorus Champs'!I44</f>
        <v>21.717600000000001</v>
      </c>
      <c r="EB44" s="475">
        <v>35</v>
      </c>
      <c r="EC44" s="630">
        <f t="shared" si="0"/>
        <v>0.62050000000000005</v>
      </c>
      <c r="ED44" s="475">
        <f>+D44+G44+J44+M44+P44+S44+V44+Y44+AB44+AE44+AH44+AK44+AN44+AQ44+AT44+AW44+AZ44+BC44+BF44+BI44+BL44+BO44+BR44+BU44+BX44+CA44+CD44+CG44+CJ44+CM44+CP44+CS44+CV44+CY44+DB44+DE44+DH44+DK44+DN44+DQ44+DT44+DW44+DZ44+'Chorus Champs'!D44+'Chorus Champs'!G44+'Chorus Champs'!J44</f>
        <v>1185</v>
      </c>
      <c r="EE44" s="475">
        <f t="shared" si="1"/>
        <v>34</v>
      </c>
    </row>
    <row r="45" spans="1:135" s="284" customFormat="1" ht="18" customHeight="1" x14ac:dyDescent="0.2">
      <c r="A45" s="283">
        <v>2014</v>
      </c>
      <c r="B45" s="284" t="s">
        <v>4268</v>
      </c>
      <c r="C45" s="627">
        <v>0.7833</v>
      </c>
      <c r="D45" s="325">
        <v>55</v>
      </c>
      <c r="E45" s="284" t="s">
        <v>2548</v>
      </c>
      <c r="F45" s="627">
        <v>0.78280000000000005</v>
      </c>
      <c r="G45" s="325">
        <v>57</v>
      </c>
      <c r="H45" s="284" t="s">
        <v>3486</v>
      </c>
      <c r="I45" s="627">
        <v>0.7772</v>
      </c>
      <c r="J45" s="325">
        <v>53</v>
      </c>
      <c r="K45" s="284" t="s">
        <v>873</v>
      </c>
      <c r="L45" s="627">
        <v>0.75109999999999999</v>
      </c>
      <c r="M45" s="325">
        <v>29</v>
      </c>
      <c r="N45" s="284" t="s">
        <v>3617</v>
      </c>
      <c r="O45" s="627">
        <v>0.71719999999999995</v>
      </c>
      <c r="P45" s="325">
        <v>22</v>
      </c>
      <c r="Q45" s="284" t="s">
        <v>3488</v>
      </c>
      <c r="R45" s="627">
        <v>0.71330000000000005</v>
      </c>
      <c r="S45" s="325">
        <v>56</v>
      </c>
      <c r="T45" s="284" t="s">
        <v>2551</v>
      </c>
      <c r="U45" s="627">
        <v>0.70830000000000004</v>
      </c>
      <c r="V45" s="325">
        <v>34</v>
      </c>
      <c r="W45" s="284" t="s">
        <v>1660</v>
      </c>
      <c r="X45" s="627">
        <v>0.69389999999999996</v>
      </c>
      <c r="Y45" s="325">
        <v>48</v>
      </c>
      <c r="Z45" s="284" t="s">
        <v>874</v>
      </c>
      <c r="AA45" s="627">
        <v>0.69389999999999996</v>
      </c>
      <c r="AB45" s="325">
        <v>24</v>
      </c>
      <c r="AC45" s="284" t="s">
        <v>4029</v>
      </c>
      <c r="AD45" s="627">
        <v>0.68830000000000002</v>
      </c>
      <c r="AE45" s="325">
        <v>33</v>
      </c>
      <c r="AF45" s="284" t="s">
        <v>2846</v>
      </c>
      <c r="AG45" s="627">
        <v>0.67610000000000003</v>
      </c>
      <c r="AH45" s="325">
        <v>40</v>
      </c>
      <c r="AI45" s="284" t="s">
        <v>678</v>
      </c>
      <c r="AJ45" s="627">
        <v>0.66669999999999996</v>
      </c>
      <c r="AK45" s="325">
        <v>55</v>
      </c>
      <c r="AL45" s="284" t="s">
        <v>3810</v>
      </c>
      <c r="AM45" s="627">
        <v>0.66110000000000002</v>
      </c>
      <c r="AN45" s="325">
        <v>34</v>
      </c>
      <c r="AO45" s="284" t="s">
        <v>875</v>
      </c>
      <c r="AP45" s="627">
        <v>0.65439999999999998</v>
      </c>
      <c r="AQ45" s="325">
        <v>31</v>
      </c>
      <c r="AR45" s="284" t="s">
        <v>876</v>
      </c>
      <c r="AS45" s="627">
        <v>0.65280000000000005</v>
      </c>
      <c r="AT45" s="325">
        <v>43</v>
      </c>
      <c r="AU45" s="284" t="s">
        <v>4207</v>
      </c>
      <c r="AV45" s="627">
        <v>0.63829999999999998</v>
      </c>
      <c r="AW45" s="325">
        <v>31</v>
      </c>
      <c r="AX45" s="284" t="s">
        <v>877</v>
      </c>
      <c r="AY45" s="627">
        <v>0.6361</v>
      </c>
      <c r="AZ45" s="325">
        <v>24</v>
      </c>
      <c r="BA45" s="284" t="s">
        <v>878</v>
      </c>
      <c r="BB45" s="627">
        <v>0.63560000000000005</v>
      </c>
      <c r="BC45" s="325">
        <v>10</v>
      </c>
      <c r="BD45" s="284" t="s">
        <v>2844</v>
      </c>
      <c r="BE45" s="627">
        <v>0.62670000000000003</v>
      </c>
      <c r="BF45" s="325">
        <v>34</v>
      </c>
      <c r="BG45" s="284" t="s">
        <v>2849</v>
      </c>
      <c r="BH45" s="627">
        <v>0.62109999999999999</v>
      </c>
      <c r="BI45" s="325">
        <v>22</v>
      </c>
      <c r="BJ45" s="284" t="s">
        <v>879</v>
      </c>
      <c r="BK45" s="627">
        <v>0.61829999999999996</v>
      </c>
      <c r="BL45" s="325">
        <v>30</v>
      </c>
      <c r="BM45" s="284" t="s">
        <v>880</v>
      </c>
      <c r="BN45" s="627">
        <v>0.61609999999999998</v>
      </c>
      <c r="BO45" s="325">
        <v>36</v>
      </c>
      <c r="BP45" s="284" t="s">
        <v>3802</v>
      </c>
      <c r="BQ45" s="627">
        <v>0.61499999999999999</v>
      </c>
      <c r="BR45" s="325">
        <v>20</v>
      </c>
      <c r="BS45" s="284" t="s">
        <v>881</v>
      </c>
      <c r="BT45" s="627">
        <v>0.6028</v>
      </c>
      <c r="BU45" s="325">
        <v>24</v>
      </c>
      <c r="BV45" s="284" t="s">
        <v>882</v>
      </c>
      <c r="BW45" s="627">
        <v>0.59719999999999995</v>
      </c>
      <c r="BX45" s="325">
        <v>15</v>
      </c>
      <c r="BY45" s="284" t="s">
        <v>883</v>
      </c>
      <c r="BZ45" s="627">
        <v>0.58779999999999999</v>
      </c>
      <c r="CA45" s="325">
        <v>20</v>
      </c>
      <c r="CB45" s="284" t="s">
        <v>4223</v>
      </c>
      <c r="CC45" s="627">
        <v>0.58779999999999999</v>
      </c>
      <c r="CD45" s="325">
        <v>23</v>
      </c>
      <c r="CE45" s="284" t="s">
        <v>884</v>
      </c>
      <c r="CF45" s="627">
        <v>0.58279999999999998</v>
      </c>
      <c r="CG45" s="325">
        <v>32</v>
      </c>
      <c r="CH45" s="284" t="s">
        <v>2315</v>
      </c>
      <c r="CI45" s="627">
        <v>0.57940000000000003</v>
      </c>
      <c r="CJ45" s="325">
        <v>28</v>
      </c>
      <c r="CK45" s="284" t="s">
        <v>885</v>
      </c>
      <c r="CL45" s="627">
        <v>0.57889999999999997</v>
      </c>
      <c r="CM45" s="325">
        <v>21</v>
      </c>
      <c r="CN45" s="284" t="s">
        <v>1649</v>
      </c>
      <c r="CO45" s="627">
        <v>0.57889999999999997</v>
      </c>
      <c r="CP45" s="325">
        <v>15</v>
      </c>
      <c r="CQ45" s="284" t="s">
        <v>886</v>
      </c>
      <c r="CR45" s="627">
        <v>0.57830000000000004</v>
      </c>
      <c r="CS45" s="325">
        <v>17</v>
      </c>
      <c r="CT45" s="284" t="s">
        <v>887</v>
      </c>
      <c r="CU45" s="627">
        <v>0.57389999999999997</v>
      </c>
      <c r="CV45" s="325">
        <v>24</v>
      </c>
      <c r="CW45" s="284" t="s">
        <v>2317</v>
      </c>
      <c r="CX45" s="627">
        <v>0.57169999999999999</v>
      </c>
      <c r="CY45" s="325">
        <v>35</v>
      </c>
      <c r="CZ45" s="284" t="s">
        <v>1162</v>
      </c>
      <c r="DA45" s="627">
        <v>0.56669999999999998</v>
      </c>
      <c r="DB45" s="325">
        <v>21</v>
      </c>
      <c r="DC45" s="284" t="s">
        <v>4195</v>
      </c>
      <c r="DD45" s="627">
        <v>0.55559999999999998</v>
      </c>
      <c r="DE45" s="325">
        <v>28</v>
      </c>
      <c r="DF45" s="284" t="s">
        <v>889</v>
      </c>
      <c r="DG45" s="627">
        <v>0.54559999999999997</v>
      </c>
      <c r="DH45" s="325">
        <v>12</v>
      </c>
      <c r="DI45" s="284" t="s">
        <v>3803</v>
      </c>
      <c r="DJ45" s="627">
        <f>977/1800</f>
        <v>0.54279999999999995</v>
      </c>
      <c r="DK45" s="325">
        <v>27</v>
      </c>
      <c r="DL45" s="284" t="s">
        <v>2850</v>
      </c>
      <c r="DM45" s="627">
        <v>0.53779999999999994</v>
      </c>
      <c r="DN45" s="325">
        <v>22</v>
      </c>
      <c r="DO45" s="284" t="s">
        <v>896</v>
      </c>
      <c r="DP45" s="627">
        <v>0.53280000000000005</v>
      </c>
      <c r="DQ45" s="325">
        <v>19</v>
      </c>
      <c r="DR45" s="284" t="s">
        <v>2314</v>
      </c>
      <c r="DS45" s="627">
        <v>0.53169999999999995</v>
      </c>
      <c r="DT45" s="325">
        <v>16</v>
      </c>
      <c r="DU45" s="284" t="s">
        <v>2313</v>
      </c>
      <c r="DV45" s="627">
        <v>0.53110000000000002</v>
      </c>
      <c r="DW45" s="325">
        <v>23</v>
      </c>
      <c r="DX45" s="284" t="s">
        <v>898</v>
      </c>
      <c r="DY45" s="627">
        <v>0.49780000000000002</v>
      </c>
      <c r="DZ45" s="324">
        <v>18</v>
      </c>
      <c r="EA45" s="630">
        <f>+C45+F45+I45+L45+O45+R45+U45+X45+AA45+AD45+AG45+AJ45+AM45+AP45+AS45+AV45+AY45+BB45+BE45+BH45+BK45+BN45+BQ45+BT45+BW45+BZ45+CC45+CF45+CI45+CL45+CO45+CR45+CU45+CX45+DA45+DD45+DG45+DJ45+DM45+DP45+DS45+DV45+DY45+'Chorus Champs'!C45+'Chorus Champs'!F45+'Chorus Champs'!I45</f>
        <v>29.278500000000001</v>
      </c>
      <c r="EB45" s="475">
        <v>46</v>
      </c>
      <c r="EC45" s="630">
        <f t="shared" si="0"/>
        <v>0.63649999999999995</v>
      </c>
      <c r="ED45" s="475">
        <f>+D45+G45+J45+M45+P45+S45+V45+Y45+AB45+AE45+AH45+AK45+AN45+AQ45+AT45+AW45+AZ45+BC45+BF45+BI45+BL45+BO45+BR45+BU45+BX45+CA45+CD45+CG45+CJ45+CM45+CP45+CS45+CV45+CY45+DB45+DE45+DH45+DK45+DN45+DQ45+DT45+DW45+DZ45+'Chorus Champs'!D45+'Chorus Champs'!G45+'Chorus Champs'!J45</f>
        <v>1427</v>
      </c>
      <c r="EE45" s="475">
        <f t="shared" si="1"/>
        <v>31</v>
      </c>
    </row>
    <row r="46" spans="1:135" s="284" customFormat="1" ht="18" customHeight="1" x14ac:dyDescent="0.2">
      <c r="A46" s="283">
        <v>2015</v>
      </c>
      <c r="B46" s="284" t="s">
        <v>3486</v>
      </c>
      <c r="C46" s="627">
        <v>0.77059999999999995</v>
      </c>
      <c r="D46" s="325">
        <v>56</v>
      </c>
      <c r="E46" s="284" t="s">
        <v>4268</v>
      </c>
      <c r="F46" s="627">
        <v>0.76439999999999997</v>
      </c>
      <c r="G46" s="325">
        <v>51</v>
      </c>
      <c r="H46" s="284" t="s">
        <v>4028</v>
      </c>
      <c r="I46" s="627">
        <v>0.76280000000000003</v>
      </c>
      <c r="J46" s="325">
        <v>24</v>
      </c>
      <c r="K46" s="284" t="s">
        <v>3617</v>
      </c>
      <c r="L46" s="627">
        <v>0.72670000000000001</v>
      </c>
      <c r="M46" s="325">
        <v>22</v>
      </c>
      <c r="N46" s="284" t="s">
        <v>3488</v>
      </c>
      <c r="O46" s="627">
        <v>0.70609999999999995</v>
      </c>
      <c r="P46" s="325">
        <v>54</v>
      </c>
      <c r="Q46" s="284" t="s">
        <v>678</v>
      </c>
      <c r="R46" s="627">
        <v>0.7056</v>
      </c>
      <c r="S46" s="325">
        <v>43</v>
      </c>
      <c r="T46" s="284" t="s">
        <v>874</v>
      </c>
      <c r="U46" s="627">
        <v>0.69940000000000002</v>
      </c>
      <c r="V46" s="325">
        <v>29</v>
      </c>
      <c r="W46" s="284" t="s">
        <v>1151</v>
      </c>
      <c r="X46" s="627">
        <v>0.69610000000000005</v>
      </c>
      <c r="Y46" s="325">
        <v>23</v>
      </c>
      <c r="Z46" s="284" t="s">
        <v>1921</v>
      </c>
      <c r="AA46" s="627">
        <v>0.67889999999999995</v>
      </c>
      <c r="AB46" s="325">
        <v>31</v>
      </c>
      <c r="AC46" s="284" t="s">
        <v>2846</v>
      </c>
      <c r="AD46" s="627">
        <v>0.67610000000000003</v>
      </c>
      <c r="AE46" s="325">
        <v>41</v>
      </c>
      <c r="AF46" s="284" t="s">
        <v>1152</v>
      </c>
      <c r="AG46" s="627">
        <v>0.6694</v>
      </c>
      <c r="AH46" s="325">
        <v>24</v>
      </c>
      <c r="AI46" s="284" t="s">
        <v>1660</v>
      </c>
      <c r="AJ46" s="627">
        <v>0.66720000000000002</v>
      </c>
      <c r="AK46" s="325">
        <v>45</v>
      </c>
      <c r="AL46" s="284" t="s">
        <v>1153</v>
      </c>
      <c r="AM46" s="627">
        <v>0.66720000000000002</v>
      </c>
      <c r="AN46" s="325">
        <v>32</v>
      </c>
      <c r="AO46" s="284" t="s">
        <v>1154</v>
      </c>
      <c r="AP46" s="627">
        <v>0.65329999999999999</v>
      </c>
      <c r="AQ46" s="325">
        <v>43</v>
      </c>
      <c r="AR46" s="284" t="s">
        <v>1155</v>
      </c>
      <c r="AS46" s="627">
        <v>0.64219999999999999</v>
      </c>
      <c r="AT46" s="325">
        <v>21</v>
      </c>
      <c r="AU46" s="284" t="s">
        <v>879</v>
      </c>
      <c r="AV46" s="627">
        <v>0.62329999999999997</v>
      </c>
      <c r="AW46" s="325">
        <v>26</v>
      </c>
      <c r="AX46" s="284" t="s">
        <v>4582</v>
      </c>
      <c r="AY46" s="627">
        <v>0.61499999999999999</v>
      </c>
      <c r="AZ46" s="325">
        <v>20</v>
      </c>
      <c r="BA46" s="284" t="s">
        <v>2844</v>
      </c>
      <c r="BB46" s="627">
        <v>0.60719999999999996</v>
      </c>
      <c r="BC46" s="325">
        <v>27</v>
      </c>
      <c r="BD46" s="284" t="s">
        <v>4223</v>
      </c>
      <c r="BE46" s="627">
        <v>0.60389999999999999</v>
      </c>
      <c r="BF46" s="325">
        <v>25</v>
      </c>
      <c r="BG46" s="284" t="s">
        <v>1156</v>
      </c>
      <c r="BH46" s="627">
        <v>0.60060000000000002</v>
      </c>
      <c r="BI46" s="325">
        <v>17</v>
      </c>
      <c r="BJ46" s="284" t="s">
        <v>4207</v>
      </c>
      <c r="BK46" s="627">
        <v>0.59830000000000005</v>
      </c>
      <c r="BL46" s="325">
        <v>25</v>
      </c>
      <c r="BM46" s="284" t="s">
        <v>882</v>
      </c>
      <c r="BN46" s="627">
        <v>0.57220000000000004</v>
      </c>
      <c r="BO46" s="325">
        <v>15</v>
      </c>
      <c r="BP46" s="284" t="s">
        <v>1157</v>
      </c>
      <c r="BQ46" s="627">
        <v>0.56889999999999996</v>
      </c>
      <c r="BR46" s="325">
        <v>23</v>
      </c>
      <c r="BS46" s="284" t="s">
        <v>1158</v>
      </c>
      <c r="BT46" s="627">
        <v>0.56889999999999996</v>
      </c>
      <c r="BU46" s="325">
        <v>30</v>
      </c>
      <c r="BV46" s="284" t="s">
        <v>3893</v>
      </c>
      <c r="BW46" s="627">
        <v>0.56779999999999997</v>
      </c>
      <c r="BX46" s="325">
        <v>24</v>
      </c>
      <c r="BY46" s="284" t="s">
        <v>1159</v>
      </c>
      <c r="BZ46" s="627">
        <v>0.56669999999999998</v>
      </c>
      <c r="CA46" s="325">
        <v>23</v>
      </c>
      <c r="CB46" s="284" t="s">
        <v>887</v>
      </c>
      <c r="CC46" s="627">
        <v>0.55330000000000001</v>
      </c>
      <c r="CD46" s="325">
        <v>20</v>
      </c>
      <c r="CE46" s="284" t="s">
        <v>1160</v>
      </c>
      <c r="CF46" s="627">
        <v>0.54610000000000003</v>
      </c>
      <c r="CG46" s="325">
        <v>21</v>
      </c>
      <c r="CH46" s="284" t="s">
        <v>896</v>
      </c>
      <c r="CI46" s="627">
        <v>0.53220000000000001</v>
      </c>
      <c r="CJ46" s="325">
        <v>16</v>
      </c>
      <c r="CK46" s="284" t="s">
        <v>888</v>
      </c>
      <c r="CL46" s="627">
        <v>0.53059999999999996</v>
      </c>
      <c r="CM46" s="325">
        <v>20</v>
      </c>
      <c r="CN46" s="284" t="s">
        <v>1161</v>
      </c>
      <c r="CO46" s="627">
        <v>0.5272</v>
      </c>
      <c r="CP46" s="325">
        <v>19</v>
      </c>
      <c r="CQ46" s="284" t="s">
        <v>1163</v>
      </c>
      <c r="CR46" s="627">
        <v>0.51390000000000002</v>
      </c>
      <c r="CS46" s="325">
        <v>22</v>
      </c>
      <c r="CT46" s="284" t="s">
        <v>1164</v>
      </c>
      <c r="CU46" s="627">
        <v>0.47939999999999999</v>
      </c>
      <c r="CV46" s="325">
        <v>14</v>
      </c>
      <c r="CX46" s="627"/>
      <c r="CY46" s="325"/>
      <c r="DA46" s="627"/>
      <c r="DB46" s="325"/>
      <c r="DD46" s="324"/>
      <c r="DE46" s="325"/>
      <c r="DG46" s="324"/>
      <c r="DH46" s="325"/>
      <c r="DJ46" s="627"/>
      <c r="DK46" s="325"/>
      <c r="DM46" s="324"/>
      <c r="DN46" s="325"/>
      <c r="DP46" s="324"/>
      <c r="DQ46" s="325"/>
      <c r="DS46" s="324"/>
      <c r="DT46" s="325"/>
      <c r="DV46" s="324"/>
      <c r="DW46" s="325"/>
      <c r="DY46" s="324"/>
      <c r="DZ46" s="324"/>
      <c r="EA46" s="630">
        <f>+C46+F46+I46+L46+O46+R46+U46+X46+AA46+AD46+AG46+AJ46+AM46+AP46+AS46+AV46+AY46+BB46+BE46+BH46+BK46+BN46+BQ46+BT46+BW46+BZ46+CC46+CF46+CI46+CL46+CO46+CR46+CU46+CX46+DA46+DD46+DG46+DJ46+DM46+DP46+DS46+DV46+DY46+'Chorus Champs'!C46+'Chorus Champs'!F46+'Chorus Champs'!I46</f>
        <v>23.064299999999999</v>
      </c>
      <c r="EB46" s="475">
        <v>36</v>
      </c>
      <c r="EC46" s="630">
        <f t="shared" si="0"/>
        <v>0.64070000000000005</v>
      </c>
      <c r="ED46" s="475">
        <f>+D46+G46+J46+M46+P46+S46+V46+Y46+AB46+AE46+AH46+AK46+AN46+AQ46+AT46+AW46+AZ46+BC46+BF46+BI46+BL46+BO46+BR46+BU46+BX46+CA46+CD46+CG46+CJ46+CM46+CP46+CS46+CV46+CY46+DB46+DE46+DH46+DK46+DN46+DQ46+DT46+DW46+DZ46+'Chorus Champs'!D46+'Chorus Champs'!G46+'Chorus Champs'!J46</f>
        <v>1093</v>
      </c>
      <c r="EE46" s="475">
        <f t="shared" si="1"/>
        <v>30</v>
      </c>
    </row>
    <row r="47" spans="1:135" s="284" customFormat="1" ht="18" customHeight="1" x14ac:dyDescent="0.2">
      <c r="A47" s="283">
        <v>2016</v>
      </c>
      <c r="B47" s="284" t="s">
        <v>4423</v>
      </c>
      <c r="C47" s="627">
        <v>0.77390000000000003</v>
      </c>
      <c r="D47" s="325">
        <v>41</v>
      </c>
      <c r="E47" s="284" t="s">
        <v>4424</v>
      </c>
      <c r="F47" s="627">
        <v>0.75719999999999998</v>
      </c>
      <c r="G47" s="325">
        <v>33</v>
      </c>
      <c r="H47" s="284" t="s">
        <v>3486</v>
      </c>
      <c r="I47" s="627">
        <v>0.74609999999999999</v>
      </c>
      <c r="J47" s="325">
        <v>59</v>
      </c>
      <c r="K47" s="284" t="s">
        <v>4425</v>
      </c>
      <c r="L47" s="627">
        <v>0.74</v>
      </c>
      <c r="M47" s="325">
        <v>21</v>
      </c>
      <c r="N47" s="284" t="s">
        <v>4426</v>
      </c>
      <c r="O47" s="627">
        <v>0.73780000000000001</v>
      </c>
      <c r="P47" s="325">
        <v>35</v>
      </c>
      <c r="Q47" s="284" t="s">
        <v>3617</v>
      </c>
      <c r="R47" s="627">
        <v>0.70889999999999997</v>
      </c>
      <c r="S47" s="325">
        <v>22</v>
      </c>
      <c r="T47" s="284" t="s">
        <v>1921</v>
      </c>
      <c r="U47" s="627">
        <v>0.68779999999999997</v>
      </c>
      <c r="V47" s="325">
        <v>30</v>
      </c>
      <c r="W47" s="284" t="s">
        <v>1660</v>
      </c>
      <c r="X47" s="627">
        <v>0.68279999999999996</v>
      </c>
      <c r="Y47" s="325">
        <v>39</v>
      </c>
      <c r="Z47" s="284" t="s">
        <v>3488</v>
      </c>
      <c r="AA47" s="627">
        <v>0.67889999999999995</v>
      </c>
      <c r="AB47" s="325">
        <v>39</v>
      </c>
      <c r="AC47" s="284" t="s">
        <v>1154</v>
      </c>
      <c r="AD47" s="627">
        <v>0.67059999999999997</v>
      </c>
      <c r="AE47" s="325">
        <v>42</v>
      </c>
      <c r="AF47" s="284" t="s">
        <v>1152</v>
      </c>
      <c r="AG47" s="627">
        <v>0.65500000000000003</v>
      </c>
      <c r="AH47" s="325">
        <v>22</v>
      </c>
      <c r="AI47" s="284" t="s">
        <v>1155</v>
      </c>
      <c r="AJ47" s="627">
        <v>0.64559999999999995</v>
      </c>
      <c r="AK47" s="325">
        <v>26</v>
      </c>
      <c r="AL47" s="284" t="s">
        <v>3810</v>
      </c>
      <c r="AM47" s="627">
        <v>0.62329999999999997</v>
      </c>
      <c r="AN47" s="325">
        <v>25</v>
      </c>
      <c r="AO47" s="284" t="s">
        <v>2849</v>
      </c>
      <c r="AP47" s="627">
        <v>0.61719999999999997</v>
      </c>
      <c r="AQ47" s="325">
        <v>21</v>
      </c>
      <c r="AR47" s="284" t="s">
        <v>2317</v>
      </c>
      <c r="AS47" s="627">
        <v>0.61439999999999995</v>
      </c>
      <c r="AT47" s="325">
        <v>31</v>
      </c>
      <c r="AU47" s="284" t="s">
        <v>1160</v>
      </c>
      <c r="AV47" s="627">
        <v>0.59330000000000005</v>
      </c>
      <c r="AW47" s="325">
        <v>35</v>
      </c>
      <c r="AX47" s="284" t="s">
        <v>4427</v>
      </c>
      <c r="AY47" s="627">
        <v>0.58499999999999996</v>
      </c>
      <c r="AZ47" s="325">
        <v>26</v>
      </c>
      <c r="BA47" s="284" t="s">
        <v>4428</v>
      </c>
      <c r="BB47" s="627">
        <v>0.58499999999999996</v>
      </c>
      <c r="BC47" s="325">
        <v>28</v>
      </c>
      <c r="BD47" s="284" t="s">
        <v>4429</v>
      </c>
      <c r="BE47" s="627">
        <v>0.58279999999999998</v>
      </c>
      <c r="BF47" s="325">
        <v>17</v>
      </c>
      <c r="BG47" s="284" t="s">
        <v>4430</v>
      </c>
      <c r="BH47" s="627">
        <v>0.57720000000000005</v>
      </c>
      <c r="BI47" s="325">
        <v>14</v>
      </c>
      <c r="BJ47" s="284" t="s">
        <v>1156</v>
      </c>
      <c r="BK47" s="627">
        <v>0.57609999999999995</v>
      </c>
      <c r="BL47" s="325">
        <v>13</v>
      </c>
      <c r="BM47" s="284" t="s">
        <v>4431</v>
      </c>
      <c r="BN47" s="627">
        <v>0.56999999999999995</v>
      </c>
      <c r="BO47" s="325">
        <v>23</v>
      </c>
      <c r="BP47" s="284" t="s">
        <v>4432</v>
      </c>
      <c r="BQ47" s="627">
        <v>0.56999999999999995</v>
      </c>
      <c r="BR47" s="325">
        <v>27</v>
      </c>
      <c r="BS47" s="284" t="s">
        <v>1161</v>
      </c>
      <c r="BT47" s="627">
        <v>0.55720000000000003</v>
      </c>
      <c r="BU47" s="325">
        <v>22</v>
      </c>
      <c r="BV47" s="284" t="s">
        <v>4433</v>
      </c>
      <c r="BW47" s="627">
        <v>0.55669999999999997</v>
      </c>
      <c r="BX47" s="325">
        <v>11</v>
      </c>
      <c r="BY47" s="284" t="s">
        <v>1157</v>
      </c>
      <c r="BZ47" s="627">
        <v>0.55610000000000004</v>
      </c>
      <c r="CA47" s="325">
        <v>23</v>
      </c>
      <c r="CB47" s="284" t="s">
        <v>1163</v>
      </c>
      <c r="CC47" s="627">
        <v>0.55059999999999998</v>
      </c>
      <c r="CD47" s="325">
        <v>7</v>
      </c>
      <c r="CE47" s="284" t="s">
        <v>4434</v>
      </c>
      <c r="CF47" s="627">
        <v>0.54890000000000005</v>
      </c>
      <c r="CG47" s="325">
        <v>22</v>
      </c>
      <c r="CH47" s="284" t="s">
        <v>887</v>
      </c>
      <c r="CI47" s="627">
        <v>0.54279999999999995</v>
      </c>
      <c r="CJ47" s="325">
        <v>17</v>
      </c>
      <c r="CK47" s="284" t="s">
        <v>4435</v>
      </c>
      <c r="CL47" s="627">
        <v>0.5111</v>
      </c>
      <c r="CM47" s="325">
        <v>19</v>
      </c>
      <c r="CN47" s="284" t="s">
        <v>896</v>
      </c>
      <c r="CO47" s="627">
        <v>0.50439999999999996</v>
      </c>
      <c r="CP47" s="325">
        <v>15</v>
      </c>
      <c r="CQ47" s="284" t="s">
        <v>3803</v>
      </c>
      <c r="CR47" s="627">
        <v>0.49940000000000001</v>
      </c>
      <c r="CS47" s="325">
        <v>28</v>
      </c>
      <c r="CU47" s="627"/>
      <c r="CV47" s="325"/>
      <c r="CX47" s="627"/>
      <c r="CY47" s="325"/>
      <c r="DA47" s="324"/>
      <c r="DB47" s="325"/>
      <c r="DD47" s="324"/>
      <c r="DE47" s="325"/>
      <c r="DG47" s="324"/>
      <c r="DH47" s="325"/>
      <c r="DJ47" s="627"/>
      <c r="DK47" s="325"/>
      <c r="DM47" s="324"/>
      <c r="DN47" s="325"/>
      <c r="DP47" s="324"/>
      <c r="DQ47" s="325"/>
      <c r="DS47" s="324"/>
      <c r="DT47" s="325"/>
      <c r="DV47" s="324"/>
      <c r="DW47" s="325"/>
      <c r="DY47" s="324"/>
      <c r="DZ47" s="324"/>
      <c r="EA47" s="630">
        <f>+C47+F47+I47+L47+O47+R47+U47+X47+AA47+AD47+AG47+AJ47+AM47+AP47+AS47+AV47+AY47+BB47+BE47+BH47+BK47+BN47+BQ47+BT47+BW47+BZ47+CC47+CF47+CI47+CL47+CO47+CR47+CU47+CX47+DA47+DD47+DG47+DJ47+DM47+DP47+DS47+DV47+DY47+'Chorus Champs'!C47+'Chorus Champs'!F47+'Chorus Champs'!I47</f>
        <v>22.228400000000001</v>
      </c>
      <c r="EB47" s="475">
        <v>35</v>
      </c>
      <c r="EC47" s="630">
        <f t="shared" si="0"/>
        <v>0.6351</v>
      </c>
      <c r="ED47" s="475">
        <f>+D47+G47+J47+M47+P47+S47+V47+Y47+AB47+AE47+AH47+AK47+AN47+AQ47+AT47+AW47+AZ47+BC47+BF47+BI47+BL47+BO47+BR47+BU47+BX47+CA47+CD47+CG47+CJ47+CM47+CP47+CS47+CV47+CY47+DB47+DE47+DH47+DK47+DN47+DQ47+DT47+DW47+DZ47+'Chorus Champs'!D47+'Chorus Champs'!G47+'Chorus Champs'!J47</f>
        <v>1008</v>
      </c>
      <c r="EE47" s="475">
        <f t="shared" ref="EE47" si="2">+ED47/EB47</f>
        <v>29</v>
      </c>
    </row>
    <row r="48" spans="1:135" s="284" customFormat="1" ht="18" customHeight="1" x14ac:dyDescent="0.2">
      <c r="A48" s="283">
        <v>2017</v>
      </c>
      <c r="B48" s="284" t="s">
        <v>4471</v>
      </c>
      <c r="C48" s="627">
        <v>0.79169999999999996</v>
      </c>
      <c r="D48" s="325">
        <v>42</v>
      </c>
      <c r="E48" s="284" t="s">
        <v>3486</v>
      </c>
      <c r="F48" s="627">
        <v>0.76790000000000003</v>
      </c>
      <c r="G48" s="325">
        <v>52</v>
      </c>
      <c r="H48" s="284" t="s">
        <v>4424</v>
      </c>
      <c r="I48" s="627">
        <v>0.76039999999999996</v>
      </c>
      <c r="J48" s="325">
        <v>32</v>
      </c>
      <c r="K48" s="284" t="s">
        <v>4472</v>
      </c>
      <c r="L48" s="627">
        <v>0.75329999999999997</v>
      </c>
      <c r="M48" s="325">
        <v>16</v>
      </c>
      <c r="N48" s="284" t="s">
        <v>4426</v>
      </c>
      <c r="O48" s="627">
        <v>0.72460000000000002</v>
      </c>
      <c r="P48" s="325">
        <v>40</v>
      </c>
      <c r="Q48" s="284" t="s">
        <v>4473</v>
      </c>
      <c r="R48" s="627">
        <v>0.72170000000000001</v>
      </c>
      <c r="S48" s="325">
        <v>29</v>
      </c>
      <c r="T48" s="284" t="s">
        <v>1921</v>
      </c>
      <c r="U48" s="627">
        <v>0.71540000000000004</v>
      </c>
      <c r="V48" s="325">
        <v>31</v>
      </c>
      <c r="W48" s="284" t="s">
        <v>1155</v>
      </c>
      <c r="X48" s="627">
        <v>0.68169999999999997</v>
      </c>
      <c r="Y48" s="325">
        <v>26</v>
      </c>
      <c r="Z48" s="284" t="s">
        <v>1660</v>
      </c>
      <c r="AA48" s="627">
        <v>0.65710000000000002</v>
      </c>
      <c r="AB48" s="325">
        <v>44</v>
      </c>
      <c r="AC48" s="284" t="s">
        <v>4474</v>
      </c>
      <c r="AD48" s="627">
        <v>0.65629999999999999</v>
      </c>
      <c r="AE48" s="325">
        <v>39</v>
      </c>
      <c r="AF48" s="284" t="s">
        <v>109</v>
      </c>
      <c r="AG48" s="627">
        <v>0.65249999999999997</v>
      </c>
      <c r="AH48" s="325">
        <v>47</v>
      </c>
      <c r="AI48" s="284" t="s">
        <v>1154</v>
      </c>
      <c r="AJ48" s="627">
        <v>0.66420000000000001</v>
      </c>
      <c r="AK48" s="325">
        <v>37</v>
      </c>
      <c r="AL48" s="284" t="s">
        <v>4475</v>
      </c>
      <c r="AM48" s="627">
        <v>0.64580000000000004</v>
      </c>
      <c r="AN48" s="325">
        <v>42</v>
      </c>
      <c r="AO48" s="284" t="s">
        <v>4476</v>
      </c>
      <c r="AP48" s="627">
        <v>0.64329999999999998</v>
      </c>
      <c r="AQ48" s="325">
        <v>13</v>
      </c>
      <c r="AR48" s="284" t="s">
        <v>4430</v>
      </c>
      <c r="AS48" s="627">
        <v>0.64249999999999996</v>
      </c>
      <c r="AT48" s="325">
        <v>16</v>
      </c>
      <c r="AU48" s="284" t="s">
        <v>4477</v>
      </c>
      <c r="AV48" s="627">
        <v>0.6421</v>
      </c>
      <c r="AW48" s="325">
        <v>33</v>
      </c>
      <c r="AX48" s="284" t="s">
        <v>4207</v>
      </c>
      <c r="AY48" s="627">
        <v>0.64</v>
      </c>
      <c r="AZ48" s="325">
        <v>30</v>
      </c>
      <c r="BA48" s="284" t="s">
        <v>4478</v>
      </c>
      <c r="BB48" s="627">
        <v>0.63329999999999997</v>
      </c>
      <c r="BC48" s="325">
        <v>36</v>
      </c>
      <c r="BD48" s="284" t="s">
        <v>4479</v>
      </c>
      <c r="BE48" s="627">
        <v>0.62250000000000005</v>
      </c>
      <c r="BF48" s="325">
        <v>35</v>
      </c>
      <c r="BG48" s="284" t="s">
        <v>4480</v>
      </c>
      <c r="BH48" s="627">
        <v>0.61080000000000001</v>
      </c>
      <c r="BI48" s="325">
        <v>22</v>
      </c>
      <c r="BJ48" s="284" t="s">
        <v>4223</v>
      </c>
      <c r="BK48" s="627">
        <v>0.60880000000000001</v>
      </c>
      <c r="BL48" s="325">
        <v>26</v>
      </c>
      <c r="BM48" s="284" t="s">
        <v>4433</v>
      </c>
      <c r="BN48" s="627">
        <v>0.60250000000000004</v>
      </c>
      <c r="BO48" s="325">
        <v>19</v>
      </c>
      <c r="BP48" s="284" t="s">
        <v>1161</v>
      </c>
      <c r="BQ48" s="627">
        <v>0.59750000000000003</v>
      </c>
      <c r="BR48" s="325">
        <v>21</v>
      </c>
      <c r="BS48" s="284" t="s">
        <v>4481</v>
      </c>
      <c r="BT48" s="627">
        <v>0.59460000000000002</v>
      </c>
      <c r="BU48" s="325">
        <v>14</v>
      </c>
      <c r="BV48" s="284" t="s">
        <v>4482</v>
      </c>
      <c r="BW48" s="627">
        <v>0.58079999999999998</v>
      </c>
      <c r="BX48" s="325">
        <v>28</v>
      </c>
      <c r="BY48" s="284" t="s">
        <v>1156</v>
      </c>
      <c r="BZ48" s="627">
        <v>0.5746</v>
      </c>
      <c r="CA48" s="325">
        <v>16</v>
      </c>
      <c r="CB48" s="284" t="s">
        <v>1157</v>
      </c>
      <c r="CC48" s="627">
        <v>0.56879999999999997</v>
      </c>
      <c r="CD48" s="325">
        <v>20</v>
      </c>
      <c r="CE48" s="284" t="s">
        <v>1160</v>
      </c>
      <c r="CF48" s="627">
        <v>0.56830000000000003</v>
      </c>
      <c r="CG48" s="325">
        <v>36</v>
      </c>
      <c r="CH48" s="284" t="s">
        <v>4483</v>
      </c>
      <c r="CI48" s="627">
        <v>0.56499999999999995</v>
      </c>
      <c r="CJ48" s="325">
        <v>17</v>
      </c>
      <c r="CK48" s="284" t="s">
        <v>4484</v>
      </c>
      <c r="CL48" s="627">
        <v>0.55879999999999996</v>
      </c>
      <c r="CM48" s="325">
        <v>17</v>
      </c>
      <c r="CN48" s="284" t="s">
        <v>4485</v>
      </c>
      <c r="CO48" s="627">
        <v>0.54830000000000001</v>
      </c>
      <c r="CP48" s="325">
        <v>36</v>
      </c>
      <c r="CQ48" s="284" t="s">
        <v>4486</v>
      </c>
      <c r="CR48" s="627">
        <f>1294/2400</f>
        <v>0.53920000000000001</v>
      </c>
      <c r="CS48" s="325">
        <v>23</v>
      </c>
      <c r="CT48" s="284" t="s">
        <v>4487</v>
      </c>
      <c r="CU48" s="627">
        <v>0.51790000000000003</v>
      </c>
      <c r="CV48" s="325">
        <v>18</v>
      </c>
      <c r="CW48" s="284" t="s">
        <v>4488</v>
      </c>
      <c r="CX48" s="627">
        <v>0.45379999999999998</v>
      </c>
      <c r="CY48" s="325">
        <v>15</v>
      </c>
      <c r="DA48" s="324"/>
      <c r="DB48" s="325"/>
      <c r="DD48" s="324"/>
      <c r="DE48" s="325"/>
      <c r="DG48" s="324"/>
      <c r="DH48" s="325"/>
      <c r="DJ48" s="627"/>
      <c r="DK48" s="325"/>
      <c r="DM48" s="324"/>
      <c r="DN48" s="325"/>
      <c r="DP48" s="324"/>
      <c r="DQ48" s="325"/>
      <c r="DS48" s="324"/>
      <c r="DT48" s="325"/>
      <c r="DV48" s="324"/>
      <c r="DW48" s="325"/>
      <c r="DY48" s="324"/>
      <c r="DZ48" s="324"/>
      <c r="EA48" s="630">
        <f>+C48+F48+I48+L48+O48+R48+U48+X48+AA48+AD48+AG48+AJ48+AM48+AP48+AS48+AV48+AY48+BB48+BE48+BH48+BK48+BN48+BQ48+BT48+BW48+BZ48+CC48+CF48+CI48+CL48+CO48+CR48+CU48+CX48+DA48+DD48+DG48+DJ48+DM48+DP48+DS48+DV48+DY48+'Chorus Champs'!C48+'Chorus Champs'!F48+'Chorus Champs'!I48</f>
        <v>23.9314</v>
      </c>
      <c r="EB48" s="475">
        <v>37</v>
      </c>
      <c r="EC48" s="630">
        <f t="shared" si="0"/>
        <v>0.64680000000000004</v>
      </c>
      <c r="ED48" s="475">
        <f>+D48+G48+J48+M48+P48+S48+V48+Y48+AB48+AE48+AH48+AK48+AN48+AQ48+AT48+AW48+AZ48+BC48+BF48+BI48+BL48+BO48+BR48+BU48+BX48+CA48+CD48+CG48+CJ48+CM48+CP48+CS48+CV48+CY48+DB48+DE48+DH48+DK48+DN48+DQ48+DT48+DW48+DZ48+'Chorus Champs'!D51+'Chorus Champs'!G51+'Chorus Champs'!J51</f>
        <v>968</v>
      </c>
      <c r="EE48" s="475">
        <f t="shared" ref="EE48" si="3">+ED48/EB48</f>
        <v>26</v>
      </c>
    </row>
    <row r="49" spans="1:135" s="284" customFormat="1" ht="18" customHeight="1" x14ac:dyDescent="0.2">
      <c r="A49" s="283">
        <f>+'Chorus Champs'!A49</f>
        <v>2018</v>
      </c>
      <c r="B49" s="284" t="s">
        <v>4471</v>
      </c>
      <c r="C49" s="627">
        <v>0.78559999999999997</v>
      </c>
      <c r="D49" s="325">
        <v>41</v>
      </c>
      <c r="E49" s="284" t="s">
        <v>3486</v>
      </c>
      <c r="F49" s="627">
        <v>0.76939999999999997</v>
      </c>
      <c r="G49" s="325">
        <v>48</v>
      </c>
      <c r="H49" s="284" t="s">
        <v>4424</v>
      </c>
      <c r="I49" s="627">
        <v>0.75939999999999996</v>
      </c>
      <c r="J49" s="325">
        <v>29</v>
      </c>
      <c r="K49" s="284" t="s">
        <v>4577</v>
      </c>
      <c r="L49" s="627">
        <v>0.73280000000000001</v>
      </c>
      <c r="M49" s="325">
        <v>25</v>
      </c>
      <c r="N49" s="284" t="s">
        <v>4578</v>
      </c>
      <c r="O49" s="627">
        <v>0.71830000000000005</v>
      </c>
      <c r="P49" s="325">
        <v>21</v>
      </c>
      <c r="Q49" s="284" t="s">
        <v>4426</v>
      </c>
      <c r="R49" s="627">
        <v>0.7117</v>
      </c>
      <c r="S49" s="325">
        <v>35</v>
      </c>
      <c r="T49" s="284" t="s">
        <v>4579</v>
      </c>
      <c r="U49" s="627">
        <v>0.70220000000000005</v>
      </c>
      <c r="V49" s="325">
        <v>40</v>
      </c>
      <c r="W49" s="284" t="s">
        <v>1921</v>
      </c>
      <c r="X49" s="627">
        <v>0.69440000000000002</v>
      </c>
      <c r="Y49" s="325">
        <v>27</v>
      </c>
      <c r="Z49" s="284" t="s">
        <v>1155</v>
      </c>
      <c r="AA49" s="627">
        <v>0.6744</v>
      </c>
      <c r="AB49" s="325">
        <v>24</v>
      </c>
      <c r="AC49" s="284" t="s">
        <v>2846</v>
      </c>
      <c r="AD49" s="627">
        <v>0.67390000000000005</v>
      </c>
      <c r="AE49" s="325">
        <v>32</v>
      </c>
      <c r="AF49" s="284" t="s">
        <v>4580</v>
      </c>
      <c r="AG49" s="627">
        <v>0.66669999999999996</v>
      </c>
      <c r="AH49" s="325">
        <v>37</v>
      </c>
      <c r="AI49" s="284" t="s">
        <v>4478</v>
      </c>
      <c r="AJ49" s="627">
        <v>0.66439999999999999</v>
      </c>
      <c r="AK49" s="325">
        <v>32</v>
      </c>
      <c r="AL49" s="284" t="s">
        <v>4430</v>
      </c>
      <c r="AM49" s="627">
        <v>0.66059999999999997</v>
      </c>
      <c r="AN49" s="325">
        <v>18</v>
      </c>
      <c r="AO49" s="284" t="s">
        <v>4581</v>
      </c>
      <c r="AP49" s="627">
        <v>0.6583</v>
      </c>
      <c r="AQ49" s="325">
        <v>39</v>
      </c>
      <c r="AR49" s="284" t="s">
        <v>4582</v>
      </c>
      <c r="AS49" s="627">
        <v>0.65439999999999998</v>
      </c>
      <c r="AT49" s="325">
        <v>18</v>
      </c>
      <c r="AU49" s="284" t="s">
        <v>4583</v>
      </c>
      <c r="AV49" s="627">
        <v>0.65059999999999996</v>
      </c>
      <c r="AW49" s="325">
        <v>31</v>
      </c>
      <c r="AX49" s="284" t="s">
        <v>4475</v>
      </c>
      <c r="AY49" s="627">
        <v>0.64329999999999998</v>
      </c>
      <c r="AZ49" s="325">
        <v>42</v>
      </c>
      <c r="BA49" s="284" t="s">
        <v>4584</v>
      </c>
      <c r="BB49" s="627">
        <v>0.64329999999999998</v>
      </c>
      <c r="BC49" s="325">
        <v>20</v>
      </c>
      <c r="BD49" s="284" t="s">
        <v>4223</v>
      </c>
      <c r="BE49" s="627">
        <v>0.64219999999999999</v>
      </c>
      <c r="BF49" s="325">
        <v>31</v>
      </c>
      <c r="BG49" s="284" t="s">
        <v>4585</v>
      </c>
      <c r="BH49" s="627">
        <v>0.6411</v>
      </c>
      <c r="BI49" s="325">
        <v>69</v>
      </c>
      <c r="BJ49" s="284" t="s">
        <v>682</v>
      </c>
      <c r="BK49" s="627">
        <v>0.64059999999999995</v>
      </c>
      <c r="BL49" s="325">
        <v>27</v>
      </c>
      <c r="BM49" s="284" t="s">
        <v>4434</v>
      </c>
      <c r="BN49" s="627">
        <v>0.64</v>
      </c>
      <c r="BO49" s="325">
        <v>26</v>
      </c>
      <c r="BP49" s="284" t="s">
        <v>4481</v>
      </c>
      <c r="BQ49" s="627">
        <v>0.63280000000000003</v>
      </c>
      <c r="BR49" s="325">
        <v>13</v>
      </c>
      <c r="BS49" s="284" t="s">
        <v>4207</v>
      </c>
      <c r="BT49" s="627">
        <v>0.63109999999999999</v>
      </c>
      <c r="BU49" s="325">
        <v>22</v>
      </c>
      <c r="BV49" s="284" t="s">
        <v>4479</v>
      </c>
      <c r="BW49" s="627">
        <v>0.62780000000000002</v>
      </c>
      <c r="BX49" s="325">
        <v>30</v>
      </c>
      <c r="BY49" s="284" t="s">
        <v>4477</v>
      </c>
      <c r="BZ49" s="627">
        <v>0.62329999999999997</v>
      </c>
      <c r="CA49" s="325">
        <v>26</v>
      </c>
      <c r="CB49" s="284" t="s">
        <v>4433</v>
      </c>
      <c r="CC49" s="627">
        <v>0.59940000000000004</v>
      </c>
      <c r="CD49" s="325">
        <v>23</v>
      </c>
      <c r="CE49" s="284" t="s">
        <v>1157</v>
      </c>
      <c r="CF49" s="627">
        <v>0.59670000000000001</v>
      </c>
      <c r="CG49" s="325">
        <v>21</v>
      </c>
      <c r="CH49" s="284" t="s">
        <v>1162</v>
      </c>
      <c r="CI49" s="627">
        <v>0.57940000000000003</v>
      </c>
      <c r="CJ49" s="325">
        <v>18</v>
      </c>
      <c r="CK49" s="284" t="s">
        <v>4586</v>
      </c>
      <c r="CL49" s="627">
        <v>0.57499999999999996</v>
      </c>
      <c r="CM49" s="325">
        <v>16</v>
      </c>
      <c r="CN49" s="284" t="s">
        <v>1161</v>
      </c>
      <c r="CO49" s="627">
        <v>0.57110000000000005</v>
      </c>
      <c r="CP49" s="325">
        <v>17</v>
      </c>
      <c r="CQ49" s="284" t="s">
        <v>4587</v>
      </c>
      <c r="CR49" s="627">
        <v>0.42670000000000002</v>
      </c>
      <c r="CS49" s="325">
        <v>15</v>
      </c>
      <c r="CU49" s="324"/>
      <c r="CV49" s="325"/>
      <c r="CX49" s="324"/>
      <c r="CY49" s="325"/>
      <c r="DA49" s="324"/>
      <c r="DB49" s="325"/>
      <c r="DD49" s="324"/>
      <c r="DE49" s="325"/>
      <c r="DG49" s="324"/>
      <c r="DH49" s="325"/>
      <c r="DJ49" s="627"/>
      <c r="DK49" s="325"/>
      <c r="DM49" s="324"/>
      <c r="DN49" s="325"/>
      <c r="DP49" s="324"/>
      <c r="DQ49" s="325"/>
      <c r="DS49" s="324"/>
      <c r="DT49" s="325"/>
      <c r="DV49" s="324"/>
      <c r="DW49" s="325"/>
      <c r="DY49" s="324"/>
      <c r="DZ49" s="324"/>
      <c r="EA49" s="630">
        <f>+C49+F49+I49+L49+O49+R49+U49+X49+AA49+AD49+AG49+AJ49+AM49+AP49+AS49+AV49+AY49+BB49+BE49+BH49+BK49+BN49+BQ49+BT49+BW49+BZ49+CC49+CF49+CI49+CL49+CO49+CR49+CU49+CX49+DA49+DD49+DG49+DJ49+DM49+DP49+DS49+DV49+DY49+'Chorus Champs'!C49+'Chorus Champs'!F49+'Chorus Champs'!I49</f>
        <v>23.319800000000001</v>
      </c>
      <c r="EB49" s="475">
        <v>35</v>
      </c>
      <c r="EC49" s="630">
        <f t="shared" si="0"/>
        <v>0.6663</v>
      </c>
      <c r="ED49" s="475">
        <f>+D49+G49+J49+M49+P49+S49+V49+Y49+AB49+AE49+AH49+AK49+AN49+AQ49+AT49+AW49+AZ49+BC49+BF49+BI49+BL49+BO49+BR49+BU49+BX49+CA49+CD49+CG49+CJ49+CM49+CP49+CS49+CV49+CY49+DB49+DE49+DH49+DK49+DN49+DQ49+DT49+DW49+DZ49+'Chorus Champs'!D52+'Chorus Champs'!G52+'Chorus Champs'!J52</f>
        <v>957</v>
      </c>
      <c r="EE49" s="475">
        <f t="shared" ref="EE49" si="4">+ED49/EB49</f>
        <v>27</v>
      </c>
    </row>
    <row r="50" spans="1:135" s="284" customFormat="1" ht="18" customHeight="1" x14ac:dyDescent="0.2">
      <c r="A50" s="283">
        <f>+'Chorus Champs'!A50</f>
        <v>2019</v>
      </c>
      <c r="B50" s="284" t="s">
        <v>4471</v>
      </c>
      <c r="C50" s="627">
        <f>1434/1800</f>
        <v>0.79669999999999996</v>
      </c>
      <c r="D50" s="325">
        <v>36</v>
      </c>
      <c r="E50" s="284" t="s">
        <v>4576</v>
      </c>
      <c r="F50" s="627">
        <f>1417/1800</f>
        <v>0.78720000000000001</v>
      </c>
      <c r="G50" s="325">
        <v>57</v>
      </c>
      <c r="H50" s="284" t="s">
        <v>4426</v>
      </c>
      <c r="I50" s="627">
        <f>1343/1800</f>
        <v>0.74609999999999999</v>
      </c>
      <c r="J50" s="325">
        <v>36</v>
      </c>
      <c r="K50" s="284" t="s">
        <v>4578</v>
      </c>
      <c r="L50" s="627">
        <f>1332/1800</f>
        <v>0.74</v>
      </c>
      <c r="M50" s="325">
        <v>35</v>
      </c>
      <c r="N50" s="284" t="s">
        <v>4766</v>
      </c>
      <c r="O50" s="627">
        <f>1280/1800</f>
        <v>0.71109999999999995</v>
      </c>
      <c r="P50" s="325">
        <v>17</v>
      </c>
      <c r="Q50" s="284" t="s">
        <v>4430</v>
      </c>
      <c r="R50" s="627">
        <f>1261/1800</f>
        <v>0.7006</v>
      </c>
      <c r="S50" s="325">
        <v>21</v>
      </c>
      <c r="T50" s="284" t="s">
        <v>1921</v>
      </c>
      <c r="U50" s="627">
        <f>1255/1800</f>
        <v>0.69720000000000004</v>
      </c>
      <c r="V50" s="325">
        <v>23</v>
      </c>
      <c r="W50" s="284" t="s">
        <v>4579</v>
      </c>
      <c r="X50" s="627">
        <f>1249/1800</f>
        <v>0.69389999999999996</v>
      </c>
      <c r="Y50" s="325">
        <v>42</v>
      </c>
      <c r="Z50" s="284" t="s">
        <v>4747</v>
      </c>
      <c r="AA50" s="627">
        <f>1218/1800</f>
        <v>0.67669999999999997</v>
      </c>
      <c r="AB50" s="325">
        <v>44</v>
      </c>
      <c r="AC50" s="284" t="s">
        <v>1155</v>
      </c>
      <c r="AD50" s="627">
        <f>1214/1800</f>
        <v>0.6744</v>
      </c>
      <c r="AE50" s="325">
        <v>28</v>
      </c>
      <c r="AF50" s="284" t="s">
        <v>4434</v>
      </c>
      <c r="AG50" s="627">
        <f>1211/1800</f>
        <v>0.67279999999999995</v>
      </c>
      <c r="AH50" s="325">
        <v>22</v>
      </c>
      <c r="AI50" s="284" t="s">
        <v>4748</v>
      </c>
      <c r="AJ50" s="627">
        <f>1211/1800</f>
        <v>0.67279999999999995</v>
      </c>
      <c r="AK50" s="325">
        <v>30</v>
      </c>
      <c r="AL50" s="284" t="s">
        <v>4478</v>
      </c>
      <c r="AM50" s="627">
        <f>1209/1800</f>
        <v>0.67169999999999996</v>
      </c>
      <c r="AN50" s="325">
        <v>31</v>
      </c>
      <c r="AO50" s="284" t="s">
        <v>4582</v>
      </c>
      <c r="AP50" s="627">
        <f>1205/1800</f>
        <v>0.6694</v>
      </c>
      <c r="AQ50" s="325">
        <v>20</v>
      </c>
      <c r="AR50" s="284" t="s">
        <v>4481</v>
      </c>
      <c r="AS50" s="627">
        <f>1194/1800</f>
        <v>0.6633</v>
      </c>
      <c r="AT50" s="325">
        <v>19</v>
      </c>
      <c r="AU50" s="284" t="s">
        <v>4581</v>
      </c>
      <c r="AV50" s="627">
        <f>1179/1800</f>
        <v>0.65500000000000003</v>
      </c>
      <c r="AW50" s="325">
        <v>27</v>
      </c>
      <c r="AX50" s="284" t="s">
        <v>4207</v>
      </c>
      <c r="AY50" s="627">
        <f>1177/1800</f>
        <v>0.65390000000000004</v>
      </c>
      <c r="AZ50" s="325">
        <v>25</v>
      </c>
      <c r="BA50" s="284" t="s">
        <v>4749</v>
      </c>
      <c r="BB50" s="627">
        <f>1155/1800</f>
        <v>0.64170000000000005</v>
      </c>
      <c r="BC50" s="325">
        <v>23</v>
      </c>
      <c r="BD50" s="284" t="s">
        <v>4223</v>
      </c>
      <c r="BE50" s="627">
        <f>1151/1800</f>
        <v>0.63939999999999997</v>
      </c>
      <c r="BF50" s="325">
        <v>28</v>
      </c>
      <c r="BG50" s="284" t="s">
        <v>4584</v>
      </c>
      <c r="BH50" s="627">
        <f>1138/1800</f>
        <v>0.63219999999999998</v>
      </c>
      <c r="BI50" s="325">
        <v>14</v>
      </c>
      <c r="BJ50" s="284" t="s">
        <v>4583</v>
      </c>
      <c r="BK50" s="627">
        <f>1126/1800</f>
        <v>0.62560000000000004</v>
      </c>
      <c r="BL50" s="325">
        <v>40</v>
      </c>
      <c r="BM50" s="284" t="s">
        <v>2311</v>
      </c>
      <c r="BN50" s="627">
        <f>1112/1800</f>
        <v>0.61780000000000002</v>
      </c>
      <c r="BO50" s="325">
        <v>26</v>
      </c>
      <c r="BP50" s="284" t="s">
        <v>4433</v>
      </c>
      <c r="BQ50" s="627">
        <f>1105/1800</f>
        <v>0.6139</v>
      </c>
      <c r="BR50" s="325">
        <v>24</v>
      </c>
      <c r="BS50" s="284" t="s">
        <v>4750</v>
      </c>
      <c r="BT50" s="627">
        <f>1099/1800</f>
        <v>0.61060000000000003</v>
      </c>
      <c r="BU50" s="325">
        <v>26</v>
      </c>
      <c r="BV50" s="284" t="s">
        <v>4751</v>
      </c>
      <c r="BW50" s="627">
        <f>1095/1800</f>
        <v>0.60829999999999995</v>
      </c>
      <c r="BX50" s="325">
        <v>12</v>
      </c>
      <c r="BY50" s="284" t="s">
        <v>4752</v>
      </c>
      <c r="BZ50" s="627">
        <f>1062/1800</f>
        <v>0.59</v>
      </c>
      <c r="CA50" s="325">
        <v>22</v>
      </c>
      <c r="CB50" s="284" t="s">
        <v>4753</v>
      </c>
      <c r="CC50" s="627">
        <f>1057/1800</f>
        <v>0.58720000000000006</v>
      </c>
      <c r="CD50" s="325">
        <v>16</v>
      </c>
      <c r="CE50" s="284" t="s">
        <v>1157</v>
      </c>
      <c r="CF50" s="627">
        <f>1050/1800</f>
        <v>0.58330000000000004</v>
      </c>
      <c r="CG50" s="325">
        <v>21</v>
      </c>
      <c r="CH50" s="284" t="s">
        <v>4754</v>
      </c>
      <c r="CI50" s="627">
        <f>1036/1800</f>
        <v>0.5756</v>
      </c>
      <c r="CJ50" s="325">
        <v>28</v>
      </c>
      <c r="CK50" s="284" t="s">
        <v>4755</v>
      </c>
      <c r="CL50" s="627">
        <f>1035/1800</f>
        <v>0.57499999999999996</v>
      </c>
      <c r="CM50" s="325">
        <v>18</v>
      </c>
      <c r="CN50" s="284" t="s">
        <v>4756</v>
      </c>
      <c r="CO50" s="627">
        <f>979/1800</f>
        <v>0.54390000000000005</v>
      </c>
      <c r="CP50" s="325">
        <v>16</v>
      </c>
      <c r="CQ50" s="284" t="s">
        <v>4486</v>
      </c>
      <c r="CR50" s="627">
        <f>882/1800</f>
        <v>0.49</v>
      </c>
      <c r="CS50" s="325">
        <v>19</v>
      </c>
      <c r="CU50" s="324"/>
      <c r="CV50" s="325"/>
      <c r="CX50" s="324"/>
      <c r="CY50" s="325"/>
      <c r="DA50" s="324"/>
      <c r="DB50" s="325"/>
      <c r="DD50" s="324"/>
      <c r="DE50" s="325"/>
      <c r="DG50" s="324"/>
      <c r="DH50" s="325"/>
      <c r="DJ50" s="627"/>
      <c r="DK50" s="325"/>
      <c r="DM50" s="324"/>
      <c r="DN50" s="325"/>
      <c r="DP50" s="324"/>
      <c r="DQ50" s="325"/>
      <c r="DS50" s="324"/>
      <c r="DT50" s="325"/>
      <c r="DV50" s="324"/>
      <c r="DW50" s="325"/>
      <c r="DY50" s="324"/>
      <c r="DZ50" s="324"/>
      <c r="EA50" s="630">
        <f>+C50+F50+I50+L50+O50+R50+U50+X50+AA50+AD50+AG50+AJ50+AM50+AP50+AS50+AV50+AY50+BB50+BE50+BH50+BK50+BN50+BQ50+BT50+BW50+BZ50+CC50+CF50+CI50+CL50+CO50+CR50+CU50+CX50+DA50+DD50+DG50+DJ50+DM50+DP50+DS50+DV50+DY50+'Chorus Champs'!C50+'Chorus Champs'!F50+'Chorus Champs'!I50</f>
        <v>23.257300000000001</v>
      </c>
      <c r="EB50" s="475">
        <v>35</v>
      </c>
      <c r="EC50" s="630">
        <f t="shared" si="0"/>
        <v>0.66449999999999998</v>
      </c>
      <c r="ED50" s="475">
        <f>+D50+G50+J50+M50+P50+S50+V50+Y50+AB50+AE50+AH50+AK50+AN50+AQ50+AT50+AW50+AZ50+BC50+BF50+BI50+BL50+BO50+BR50+BU50+BX50+CA50+CD50+CG50+CJ50+CM50+CP50+CS50+CV50+CY50+DB50+DE50+DH50+DK50+DN50+DQ50+DT50+DW50+DZ50+'Chorus Champs'!D53+'Chorus Champs'!G53+'Chorus Champs'!J53</f>
        <v>846</v>
      </c>
      <c r="EE50" s="475">
        <f t="shared" ref="EE50" si="5">+ED50/EB50</f>
        <v>24</v>
      </c>
    </row>
    <row r="51" spans="1:135" ht="18" customHeight="1" x14ac:dyDescent="0.2">
      <c r="A51" s="549"/>
      <c r="B51" s="477"/>
      <c r="C51" s="343"/>
      <c r="D51" s="343"/>
      <c r="E51" s="477"/>
      <c r="F51" s="343"/>
      <c r="G51" s="343"/>
      <c r="H51" s="477"/>
      <c r="I51" s="343"/>
      <c r="J51" s="477"/>
      <c r="K51" s="477"/>
      <c r="L51" s="343"/>
      <c r="M51" s="343"/>
      <c r="N51" s="477"/>
      <c r="O51" s="343"/>
      <c r="P51" s="343"/>
      <c r="Q51" s="477"/>
      <c r="R51" s="343"/>
      <c r="S51" s="343"/>
      <c r="T51" s="477"/>
      <c r="U51" s="343"/>
      <c r="V51" s="343"/>
      <c r="W51" s="477"/>
      <c r="X51" s="343"/>
      <c r="Y51" s="343"/>
      <c r="Z51" s="477"/>
      <c r="AA51" s="343"/>
      <c r="AB51" s="343"/>
      <c r="AC51" s="477"/>
      <c r="AD51" s="343"/>
      <c r="AE51" s="343"/>
      <c r="AF51" s="477"/>
      <c r="AG51" s="343"/>
      <c r="AH51" s="343"/>
      <c r="AI51" s="477"/>
      <c r="AJ51" s="343"/>
      <c r="AK51" s="343"/>
      <c r="AL51" s="477"/>
      <c r="AM51" s="343"/>
      <c r="AN51" s="343"/>
      <c r="AO51" s="477"/>
      <c r="AP51" s="343"/>
      <c r="AQ51" s="343"/>
      <c r="AR51" s="477"/>
      <c r="AS51" s="343"/>
      <c r="AT51" s="343"/>
      <c r="AU51" s="477"/>
      <c r="AV51" s="343"/>
      <c r="AW51" s="343"/>
      <c r="AX51" s="477"/>
      <c r="AY51" s="343"/>
      <c r="AZ51" s="343"/>
      <c r="BA51" s="477"/>
      <c r="BB51" s="343"/>
      <c r="BC51" s="343"/>
      <c r="BD51" s="477"/>
      <c r="BE51" s="343"/>
      <c r="BF51" s="343"/>
      <c r="BG51" s="477"/>
      <c r="BH51" s="343"/>
      <c r="BI51" s="343"/>
      <c r="BJ51" s="477"/>
      <c r="BK51" s="343"/>
      <c r="BL51" s="343"/>
      <c r="BM51" s="477"/>
      <c r="BN51" s="343"/>
      <c r="BO51" s="343"/>
      <c r="BP51" s="477"/>
      <c r="BQ51" s="343"/>
      <c r="BR51" s="343"/>
      <c r="BS51" s="477"/>
      <c r="BT51" s="343"/>
      <c r="BU51" s="343"/>
      <c r="BV51" s="477"/>
      <c r="BW51" s="343"/>
      <c r="BX51" s="343"/>
      <c r="BY51" s="477"/>
      <c r="BZ51" s="343"/>
      <c r="CA51" s="343"/>
      <c r="CB51" s="477"/>
      <c r="CC51" s="343"/>
      <c r="CD51" s="343"/>
      <c r="CE51" s="477"/>
      <c r="CF51" s="343"/>
      <c r="CG51" s="343"/>
      <c r="CH51" s="477"/>
      <c r="CI51" s="343"/>
      <c r="CJ51" s="343"/>
      <c r="CK51" s="477"/>
      <c r="CL51" s="343"/>
      <c r="CM51" s="343"/>
      <c r="CN51" s="477"/>
      <c r="CO51" s="343"/>
      <c r="CP51" s="343"/>
      <c r="CQ51" s="477"/>
      <c r="CR51" s="343"/>
      <c r="CS51" s="343"/>
      <c r="CT51" s="477"/>
      <c r="CU51" s="343"/>
      <c r="CV51" s="343"/>
      <c r="CW51" s="477"/>
      <c r="CX51" s="343"/>
      <c r="CY51" s="343"/>
      <c r="CZ51" s="477"/>
      <c r="DA51" s="343"/>
      <c r="DB51" s="343"/>
      <c r="DC51" s="477"/>
      <c r="DD51" s="343"/>
      <c r="DE51" s="478"/>
      <c r="DF51" s="477"/>
      <c r="DG51" s="343"/>
      <c r="DH51" s="478"/>
      <c r="DI51" s="477"/>
      <c r="DJ51" s="629"/>
      <c r="DK51" s="478"/>
      <c r="DL51" s="477"/>
      <c r="DM51" s="343"/>
      <c r="DN51" s="478"/>
      <c r="DO51" s="477"/>
      <c r="DP51" s="343"/>
      <c r="DQ51" s="478"/>
      <c r="DR51" s="477"/>
      <c r="DS51" s="343"/>
      <c r="DT51" s="478"/>
      <c r="DU51" s="477"/>
      <c r="DV51" s="343"/>
      <c r="DW51" s="478"/>
      <c r="DX51" s="477"/>
      <c r="DY51" s="343"/>
      <c r="DZ51" s="343"/>
      <c r="EA51" s="476"/>
      <c r="EB51" s="476"/>
      <c r="EC51" s="476"/>
      <c r="ED51" s="476"/>
      <c r="EE51" s="476"/>
    </row>
    <row r="52" spans="1:135" ht="18" customHeight="1" x14ac:dyDescent="0.2">
      <c r="B52" s="294"/>
      <c r="E52" s="294"/>
      <c r="H52" s="294"/>
      <c r="K52" s="294"/>
      <c r="L52" s="289"/>
      <c r="M52" s="289"/>
      <c r="N52" s="294"/>
      <c r="O52" s="289"/>
      <c r="P52" s="289"/>
      <c r="Q52" s="294"/>
      <c r="R52" s="289"/>
      <c r="T52" s="294"/>
      <c r="U52" s="289"/>
      <c r="V52" s="289"/>
      <c r="W52" s="294"/>
      <c r="X52" s="289"/>
      <c r="Y52" s="289"/>
      <c r="Z52" s="294"/>
      <c r="AA52" s="289"/>
      <c r="AC52" s="294"/>
      <c r="AD52" s="289"/>
      <c r="AE52" s="289"/>
      <c r="AF52" s="294"/>
      <c r="AG52" s="289"/>
      <c r="AH52" s="289"/>
      <c r="AI52" s="294"/>
      <c r="AJ52" s="289"/>
      <c r="AL52" s="294"/>
      <c r="AM52" s="289"/>
      <c r="AN52" s="289"/>
      <c r="AO52" s="294"/>
      <c r="AP52" s="289"/>
      <c r="AQ52" s="289"/>
      <c r="AR52" s="294"/>
      <c r="AS52" s="289"/>
      <c r="AU52" s="294"/>
      <c r="AV52" s="289"/>
      <c r="AX52" s="294"/>
      <c r="AY52" s="289"/>
      <c r="AZ52" s="289"/>
      <c r="BA52" s="294"/>
      <c r="BB52" s="289"/>
      <c r="BD52" s="294"/>
      <c r="BE52" s="289"/>
      <c r="BG52" s="294"/>
      <c r="BH52" s="289"/>
      <c r="BI52" s="289"/>
      <c r="BJ52" s="294"/>
      <c r="BK52" s="289"/>
      <c r="BM52" s="294"/>
      <c r="BN52" s="289"/>
      <c r="BP52" s="294"/>
      <c r="BQ52" s="289"/>
      <c r="BS52" s="294"/>
      <c r="BT52" s="289"/>
      <c r="BV52" s="294"/>
      <c r="BW52" s="289"/>
      <c r="BY52" s="294"/>
      <c r="BZ52" s="289"/>
      <c r="CB52" s="294"/>
      <c r="CC52" s="289"/>
      <c r="CE52" s="294"/>
      <c r="CF52" s="289"/>
      <c r="CH52" s="294"/>
      <c r="CI52" s="289"/>
      <c r="CK52" s="294"/>
      <c r="CL52" s="289"/>
      <c r="CN52" s="294"/>
      <c r="CO52" s="289"/>
      <c r="CQ52" s="294"/>
      <c r="CR52" s="289"/>
      <c r="CT52" s="294"/>
      <c r="CU52" s="289"/>
      <c r="CW52" s="294"/>
      <c r="CX52" s="289"/>
      <c r="CZ52" s="294"/>
      <c r="DA52" s="289"/>
      <c r="DC52" s="294"/>
      <c r="DD52" s="289"/>
      <c r="DF52" s="294"/>
      <c r="DG52" s="289"/>
      <c r="DI52" s="294"/>
      <c r="DJ52" s="289"/>
      <c r="DL52" s="294"/>
      <c r="DM52" s="289"/>
      <c r="DO52" s="294"/>
      <c r="DP52" s="289"/>
      <c r="DR52" s="294"/>
      <c r="DS52" s="289"/>
      <c r="DU52" s="294"/>
      <c r="DV52" s="289"/>
      <c r="DX52" s="294"/>
      <c r="DY52" s="289"/>
    </row>
  </sheetData>
  <mergeCells count="84">
    <mergeCell ref="AC3:AE3"/>
    <mergeCell ref="BV10:CD10"/>
    <mergeCell ref="BA3:BC3"/>
    <mergeCell ref="BJ3:BL3"/>
    <mergeCell ref="AU10:BC10"/>
    <mergeCell ref="BD10:BL10"/>
    <mergeCell ref="BM10:BU10"/>
    <mergeCell ref="BG3:BI3"/>
    <mergeCell ref="B10:J10"/>
    <mergeCell ref="AU3:AW3"/>
    <mergeCell ref="B5:J5"/>
    <mergeCell ref="AU5:BC5"/>
    <mergeCell ref="T10:AB10"/>
    <mergeCell ref="K5:S5"/>
    <mergeCell ref="K3:M3"/>
    <mergeCell ref="N3:P3"/>
    <mergeCell ref="Q3:S3"/>
    <mergeCell ref="AR3:AT3"/>
    <mergeCell ref="T5:AB5"/>
    <mergeCell ref="W3:Y3"/>
    <mergeCell ref="Z3:AB3"/>
    <mergeCell ref="AL5:AT5"/>
    <mergeCell ref="T3:V3"/>
    <mergeCell ref="AX3:AZ3"/>
    <mergeCell ref="A1:J1"/>
    <mergeCell ref="H3:J3"/>
    <mergeCell ref="E3:G3"/>
    <mergeCell ref="B3:D3"/>
    <mergeCell ref="K1:S1"/>
    <mergeCell ref="T1:AB1"/>
    <mergeCell ref="BV1:CD1"/>
    <mergeCell ref="CE1:CM1"/>
    <mergeCell ref="K10:S10"/>
    <mergeCell ref="BM3:BO3"/>
    <mergeCell ref="AL1:AT1"/>
    <mergeCell ref="AU1:BC1"/>
    <mergeCell ref="BD1:BL1"/>
    <mergeCell ref="BM1:BU1"/>
    <mergeCell ref="BS3:BU3"/>
    <mergeCell ref="AO3:AQ3"/>
    <mergeCell ref="AL3:AN3"/>
    <mergeCell ref="BD3:BF3"/>
    <mergeCell ref="CK3:CM3"/>
    <mergeCell ref="CB3:CD3"/>
    <mergeCell ref="AL10:AT10"/>
    <mergeCell ref="DO10:DW10"/>
    <mergeCell ref="CN10:CV10"/>
    <mergeCell ref="DL3:DN3"/>
    <mergeCell ref="DU3:DW3"/>
    <mergeCell ref="DC3:DE3"/>
    <mergeCell ref="CN3:CP3"/>
    <mergeCell ref="CQ3:CS3"/>
    <mergeCell ref="CT3:CV3"/>
    <mergeCell ref="CW3:CY3"/>
    <mergeCell ref="CW10:DE10"/>
    <mergeCell ref="DF10:DN10"/>
    <mergeCell ref="CW5:DE5"/>
    <mergeCell ref="DF5:DN5"/>
    <mergeCell ref="CZ3:DB3"/>
    <mergeCell ref="CE10:CM10"/>
    <mergeCell ref="BV3:BX3"/>
    <mergeCell ref="BY3:CA3"/>
    <mergeCell ref="AC10:AK10"/>
    <mergeCell ref="CN1:CV1"/>
    <mergeCell ref="CH3:CJ3"/>
    <mergeCell ref="CE3:CG3"/>
    <mergeCell ref="BP3:BR3"/>
    <mergeCell ref="CE5:CM5"/>
    <mergeCell ref="BD5:BL5"/>
    <mergeCell ref="AC1:AK1"/>
    <mergeCell ref="BM5:BU5"/>
    <mergeCell ref="BV5:CD5"/>
    <mergeCell ref="AF3:AH3"/>
    <mergeCell ref="AI3:AK3"/>
    <mergeCell ref="AC5:AK5"/>
    <mergeCell ref="CW1:DE1"/>
    <mergeCell ref="CN5:CV5"/>
    <mergeCell ref="DO5:DW5"/>
    <mergeCell ref="DF1:DN1"/>
    <mergeCell ref="DO1:DW1"/>
    <mergeCell ref="DF3:DH3"/>
    <mergeCell ref="DI3:DK3"/>
    <mergeCell ref="DO3:DQ3"/>
    <mergeCell ref="DR3:DT3"/>
  </mergeCells>
  <phoneticPr fontId="9" type="noConversion"/>
  <hyperlinks>
    <hyperlink ref="A34" r:id="rId1" display="http://www.cambridgechordco.org.uk/" xr:uid="{00000000-0004-0000-0600-000000000000}"/>
    <hyperlink ref="A35" r:id="rId2" display="http://www.cambridgechordco.org.uk/" xr:uid="{00000000-0004-0000-0600-000001000000}"/>
    <hyperlink ref="A36" r:id="rId3" display="http://www.cambridgechordco.org.uk/" xr:uid="{00000000-0004-0000-0600-000002000000}"/>
  </hyperlinks>
  <printOptions horizontalCentered="1"/>
  <pageMargins left="0" right="0" top="0.11811023622047245" bottom="0" header="0" footer="0"/>
  <pageSetup paperSize="9" scale="65" fitToWidth="11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5"/>
  <sheetViews>
    <sheetView workbookViewId="0">
      <selection activeCell="H4" sqref="H4"/>
    </sheetView>
  </sheetViews>
  <sheetFormatPr defaultColWidth="9" defaultRowHeight="10.199999999999999" x14ac:dyDescent="0.2"/>
  <cols>
    <col min="1" max="1" width="2.88671875" style="632" bestFit="1" customWidth="1"/>
    <col min="2" max="2" width="15.44140625" style="463" bestFit="1" customWidth="1"/>
    <col min="3" max="3" width="4.88671875" style="633" bestFit="1" customWidth="1"/>
    <col min="4" max="4" width="2.88671875" style="632" bestFit="1" customWidth="1"/>
    <col min="5" max="5" width="17.21875" style="463" bestFit="1" customWidth="1"/>
    <col min="6" max="6" width="4.88671875" style="633" bestFit="1" customWidth="1"/>
    <col min="7" max="7" width="2.88671875" style="632" bestFit="1" customWidth="1"/>
    <col min="8" max="8" width="17.21875" style="463" bestFit="1" customWidth="1"/>
    <col min="9" max="9" width="4.88671875" style="633" bestFit="1" customWidth="1"/>
    <col min="10" max="10" width="2.88671875" style="632" bestFit="1" customWidth="1"/>
    <col min="11" max="11" width="16.21875" style="463" bestFit="1" customWidth="1"/>
    <col min="12" max="12" width="4.88671875" style="633" bestFit="1" customWidth="1"/>
    <col min="13" max="13" width="2.88671875" style="463" bestFit="1" customWidth="1"/>
    <col min="14" max="14" width="17.21875" style="463" bestFit="1" customWidth="1"/>
    <col min="15" max="15" width="5.6640625" style="632" bestFit="1" customWidth="1"/>
    <col min="16" max="16384" width="9" style="463"/>
  </cols>
  <sheetData>
    <row r="1" spans="1:15" x14ac:dyDescent="0.2">
      <c r="A1" s="691" t="s">
        <v>4449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</row>
    <row r="3" spans="1:15" x14ac:dyDescent="0.2">
      <c r="A3" s="692" t="s">
        <v>4757</v>
      </c>
      <c r="B3" s="693"/>
      <c r="C3" s="694"/>
      <c r="D3" s="692" t="s">
        <v>4588</v>
      </c>
      <c r="E3" s="693"/>
      <c r="F3" s="694"/>
      <c r="G3" s="692" t="s">
        <v>4573</v>
      </c>
      <c r="H3" s="693"/>
      <c r="I3" s="694"/>
      <c r="J3" s="692" t="s">
        <v>4445</v>
      </c>
      <c r="K3" s="693"/>
      <c r="L3" s="694"/>
      <c r="M3" s="692" t="s">
        <v>4448</v>
      </c>
      <c r="N3" s="693"/>
      <c r="O3" s="694"/>
    </row>
    <row r="4" spans="1:15" x14ac:dyDescent="0.2">
      <c r="A4" s="635"/>
      <c r="B4" s="456"/>
      <c r="C4" s="636"/>
      <c r="D4" s="635"/>
      <c r="E4" s="456"/>
      <c r="F4" s="636"/>
      <c r="G4" s="635"/>
      <c r="H4" s="456"/>
      <c r="I4" s="636"/>
      <c r="J4" s="635"/>
      <c r="K4" s="456"/>
      <c r="L4" s="636"/>
      <c r="M4" s="635"/>
      <c r="N4" s="456"/>
      <c r="O4" s="636"/>
    </row>
    <row r="5" spans="1:15" x14ac:dyDescent="0.2">
      <c r="A5" s="635"/>
      <c r="B5" s="637" t="s">
        <v>4726</v>
      </c>
      <c r="C5" s="636"/>
      <c r="D5" s="635"/>
      <c r="E5" s="637" t="s">
        <v>4726</v>
      </c>
      <c r="F5" s="636"/>
      <c r="G5" s="635"/>
      <c r="H5" s="637" t="s">
        <v>4726</v>
      </c>
      <c r="I5" s="636"/>
      <c r="J5" s="635"/>
      <c r="K5" s="637" t="s">
        <v>4726</v>
      </c>
      <c r="L5" s="636"/>
      <c r="M5" s="635"/>
      <c r="N5" s="637" t="s">
        <v>4726</v>
      </c>
      <c r="O5" s="636"/>
    </row>
    <row r="6" spans="1:15" x14ac:dyDescent="0.2">
      <c r="A6" s="635"/>
      <c r="B6" s="456"/>
      <c r="C6" s="636"/>
      <c r="D6" s="635"/>
      <c r="E6" s="456"/>
      <c r="F6" s="636"/>
      <c r="G6" s="635"/>
      <c r="H6" s="456"/>
      <c r="I6" s="636"/>
      <c r="J6" s="635"/>
      <c r="K6" s="456"/>
      <c r="L6" s="636"/>
      <c r="M6" s="635"/>
      <c r="N6" s="456"/>
      <c r="O6" s="636"/>
    </row>
    <row r="7" spans="1:15" x14ac:dyDescent="0.2">
      <c r="A7" s="635">
        <v>1</v>
      </c>
      <c r="B7" s="456" t="s">
        <v>332</v>
      </c>
      <c r="C7" s="636">
        <v>0.83199999999999996</v>
      </c>
      <c r="D7" s="635">
        <v>1</v>
      </c>
      <c r="E7" s="456" t="s">
        <v>2454</v>
      </c>
      <c r="F7" s="636">
        <v>0.81699999999999995</v>
      </c>
      <c r="G7" s="635">
        <v>1</v>
      </c>
      <c r="H7" s="456" t="s">
        <v>318</v>
      </c>
      <c r="I7" s="636">
        <v>0.81299999999999994</v>
      </c>
      <c r="J7" s="635">
        <v>1</v>
      </c>
      <c r="K7" s="456" t="s">
        <v>2454</v>
      </c>
      <c r="L7" s="636">
        <v>0.82399999999999995</v>
      </c>
      <c r="M7" s="635">
        <v>1</v>
      </c>
      <c r="N7" s="456" t="s">
        <v>318</v>
      </c>
      <c r="O7" s="636">
        <v>0.80900000000000005</v>
      </c>
    </row>
    <row r="8" spans="1:15" x14ac:dyDescent="0.2">
      <c r="A8" s="635">
        <v>2</v>
      </c>
      <c r="B8" s="456" t="s">
        <v>4489</v>
      </c>
      <c r="C8" s="636">
        <v>0.80400000000000005</v>
      </c>
      <c r="D8" s="635">
        <v>2</v>
      </c>
      <c r="E8" s="456" t="s">
        <v>338</v>
      </c>
      <c r="F8" s="636">
        <v>0.81299999999999994</v>
      </c>
      <c r="G8" s="635">
        <v>2</v>
      </c>
      <c r="H8" s="456" t="s">
        <v>332</v>
      </c>
      <c r="I8" s="636">
        <v>0.81</v>
      </c>
      <c r="J8" s="635">
        <v>2</v>
      </c>
      <c r="K8" s="456" t="s">
        <v>338</v>
      </c>
      <c r="L8" s="636">
        <v>0.80800000000000005</v>
      </c>
      <c r="M8" s="635">
        <v>2</v>
      </c>
      <c r="N8" s="456" t="s">
        <v>2454</v>
      </c>
      <c r="O8" s="636">
        <v>0.80300000000000005</v>
      </c>
    </row>
    <row r="9" spans="1:15" x14ac:dyDescent="0.2">
      <c r="A9" s="635">
        <v>3</v>
      </c>
      <c r="B9" s="456" t="s">
        <v>318</v>
      </c>
      <c r="C9" s="636">
        <v>0.80400000000000005</v>
      </c>
      <c r="D9" s="635">
        <v>3</v>
      </c>
      <c r="E9" s="456" t="s">
        <v>4489</v>
      </c>
      <c r="F9" s="636">
        <v>0.79900000000000004</v>
      </c>
      <c r="G9" s="635">
        <v>3</v>
      </c>
      <c r="H9" s="456" t="s">
        <v>338</v>
      </c>
      <c r="I9" s="636">
        <v>0.80200000000000005</v>
      </c>
      <c r="J9" s="635">
        <v>3</v>
      </c>
      <c r="K9" s="456" t="s">
        <v>332</v>
      </c>
      <c r="L9" s="636">
        <v>0.80300000000000005</v>
      </c>
      <c r="M9" s="635">
        <v>3</v>
      </c>
      <c r="N9" s="456" t="s">
        <v>338</v>
      </c>
      <c r="O9" s="636">
        <v>0.79100000000000004</v>
      </c>
    </row>
    <row r="10" spans="1:15" x14ac:dyDescent="0.2">
      <c r="A10" s="635">
        <v>4</v>
      </c>
      <c r="B10" s="456" t="s">
        <v>2451</v>
      </c>
      <c r="C10" s="636">
        <v>0.79700000000000004</v>
      </c>
      <c r="D10" s="635">
        <v>4</v>
      </c>
      <c r="E10" s="456" t="s">
        <v>2451</v>
      </c>
      <c r="F10" s="636">
        <v>0.78600000000000003</v>
      </c>
      <c r="G10" s="635">
        <v>4</v>
      </c>
      <c r="H10" s="456" t="s">
        <v>2451</v>
      </c>
      <c r="I10" s="636">
        <v>0.79200000000000004</v>
      </c>
      <c r="J10" s="635">
        <v>4</v>
      </c>
      <c r="K10" s="456" t="s">
        <v>2451</v>
      </c>
      <c r="L10" s="636">
        <v>0.77400000000000002</v>
      </c>
      <c r="M10" s="635">
        <v>4</v>
      </c>
      <c r="N10" s="456" t="s">
        <v>314</v>
      </c>
      <c r="O10" s="636">
        <v>0.77100000000000002</v>
      </c>
    </row>
    <row r="11" spans="1:15" x14ac:dyDescent="0.2">
      <c r="A11" s="635">
        <v>5</v>
      </c>
      <c r="B11" s="456" t="s">
        <v>338</v>
      </c>
      <c r="C11" s="636">
        <v>0.78700000000000003</v>
      </c>
      <c r="D11" s="635">
        <v>5</v>
      </c>
      <c r="E11" s="456" t="s">
        <v>314</v>
      </c>
      <c r="F11" s="636">
        <v>0.76900000000000002</v>
      </c>
      <c r="G11" s="635">
        <v>5</v>
      </c>
      <c r="H11" s="456" t="s">
        <v>314</v>
      </c>
      <c r="I11" s="636">
        <v>0.76800000000000002</v>
      </c>
      <c r="J11" s="635">
        <v>5</v>
      </c>
      <c r="K11" s="456" t="s">
        <v>4281</v>
      </c>
      <c r="L11" s="636">
        <v>0.75700000000000001</v>
      </c>
      <c r="M11" s="635">
        <v>5</v>
      </c>
      <c r="N11" s="456" t="s">
        <v>2451</v>
      </c>
      <c r="O11" s="636">
        <v>0.76400000000000001</v>
      </c>
    </row>
    <row r="12" spans="1:15" x14ac:dyDescent="0.2">
      <c r="A12" s="635">
        <v>6</v>
      </c>
      <c r="B12" s="456" t="s">
        <v>117</v>
      </c>
      <c r="C12" s="636">
        <v>0.746</v>
      </c>
      <c r="D12" s="635">
        <v>6</v>
      </c>
      <c r="E12" s="456" t="s">
        <v>4281</v>
      </c>
      <c r="F12" s="636">
        <v>0.75900000000000001</v>
      </c>
      <c r="G12" s="635">
        <v>6</v>
      </c>
      <c r="H12" s="456" t="s">
        <v>4281</v>
      </c>
      <c r="I12" s="636">
        <v>0.76</v>
      </c>
      <c r="J12" s="635">
        <v>6</v>
      </c>
      <c r="K12" s="456" t="s">
        <v>314</v>
      </c>
      <c r="L12" s="636">
        <v>0.746</v>
      </c>
      <c r="M12" s="635">
        <v>6</v>
      </c>
      <c r="N12" s="456" t="s">
        <v>4281</v>
      </c>
      <c r="O12" s="636">
        <v>0.76300000000000001</v>
      </c>
    </row>
    <row r="13" spans="1:15" x14ac:dyDescent="0.2">
      <c r="A13" s="635">
        <v>7</v>
      </c>
      <c r="B13" s="456" t="s">
        <v>2011</v>
      </c>
      <c r="C13" s="636">
        <v>0.74</v>
      </c>
      <c r="D13" s="635">
        <v>7</v>
      </c>
      <c r="E13" s="456" t="s">
        <v>2011</v>
      </c>
      <c r="F13" s="636">
        <v>0.71799999999999997</v>
      </c>
      <c r="G13" s="635">
        <v>7</v>
      </c>
      <c r="H13" s="456" t="s">
        <v>4489</v>
      </c>
      <c r="I13" s="636">
        <v>0.753</v>
      </c>
      <c r="J13" s="635">
        <v>7</v>
      </c>
      <c r="K13" s="456" t="s">
        <v>2011</v>
      </c>
      <c r="L13" s="636">
        <v>0.70899999999999996</v>
      </c>
      <c r="M13" s="635">
        <v>7</v>
      </c>
      <c r="N13" s="456" t="s">
        <v>2011</v>
      </c>
      <c r="O13" s="636">
        <v>0.72699999999999998</v>
      </c>
    </row>
    <row r="14" spans="1:15" x14ac:dyDescent="0.2">
      <c r="A14" s="635">
        <v>8</v>
      </c>
      <c r="B14" s="456" t="s">
        <v>1150</v>
      </c>
      <c r="C14" s="636">
        <v>0.71099999999999997</v>
      </c>
      <c r="D14" s="635">
        <v>8</v>
      </c>
      <c r="E14" s="456" t="s">
        <v>117</v>
      </c>
      <c r="F14" s="636">
        <v>0.71199999999999997</v>
      </c>
      <c r="G14" s="635">
        <v>8</v>
      </c>
      <c r="H14" s="456" t="s">
        <v>117</v>
      </c>
      <c r="I14" s="636">
        <v>0.72499999999999998</v>
      </c>
      <c r="J14" s="635"/>
      <c r="K14" s="456"/>
      <c r="L14" s="636"/>
      <c r="M14" s="635">
        <v>8</v>
      </c>
      <c r="N14" s="456" t="s">
        <v>4107</v>
      </c>
      <c r="O14" s="636">
        <v>0.70599999999999996</v>
      </c>
    </row>
    <row r="15" spans="1:15" x14ac:dyDescent="0.2">
      <c r="A15" s="635"/>
      <c r="B15" s="456"/>
      <c r="C15" s="636"/>
      <c r="D15" s="635">
        <v>9</v>
      </c>
      <c r="E15" s="456" t="s">
        <v>2566</v>
      </c>
      <c r="F15" s="636">
        <v>0.69399999999999995</v>
      </c>
      <c r="G15" s="635">
        <v>9</v>
      </c>
      <c r="H15" s="456" t="s">
        <v>1150</v>
      </c>
      <c r="I15" s="636">
        <v>0.64300000000000002</v>
      </c>
      <c r="J15" s="635"/>
      <c r="K15" s="456"/>
      <c r="L15" s="636"/>
      <c r="M15" s="635"/>
      <c r="N15" s="456"/>
      <c r="O15" s="636"/>
    </row>
    <row r="16" spans="1:15" x14ac:dyDescent="0.2">
      <c r="A16" s="635"/>
      <c r="B16" s="456"/>
      <c r="C16" s="636"/>
      <c r="D16" s="635"/>
      <c r="E16" s="456"/>
      <c r="F16" s="636"/>
      <c r="G16" s="635"/>
      <c r="H16" s="456"/>
      <c r="I16" s="636"/>
      <c r="J16" s="635"/>
      <c r="K16" s="456"/>
      <c r="L16" s="636"/>
      <c r="M16" s="635"/>
      <c r="N16" s="456"/>
      <c r="O16" s="636"/>
    </row>
    <row r="17" spans="1:15" x14ac:dyDescent="0.2">
      <c r="A17" s="635"/>
      <c r="B17" s="456"/>
      <c r="C17" s="636"/>
      <c r="D17" s="635"/>
      <c r="E17" s="456"/>
      <c r="F17" s="636"/>
      <c r="G17" s="635"/>
      <c r="H17" s="456"/>
      <c r="I17" s="636"/>
      <c r="J17" s="635"/>
      <c r="K17" s="456"/>
      <c r="L17" s="636"/>
      <c r="M17" s="635"/>
      <c r="N17" s="456"/>
      <c r="O17" s="636"/>
    </row>
    <row r="18" spans="1:15" x14ac:dyDescent="0.2">
      <c r="A18" s="635"/>
      <c r="B18" s="456"/>
      <c r="C18" s="636"/>
      <c r="D18" s="635"/>
      <c r="E18" s="456"/>
      <c r="F18" s="636"/>
      <c r="G18" s="635"/>
      <c r="H18" s="456"/>
      <c r="I18" s="636"/>
      <c r="J18" s="635"/>
      <c r="K18" s="456"/>
      <c r="L18" s="636"/>
      <c r="M18" s="635"/>
      <c r="N18" s="456"/>
      <c r="O18" s="636"/>
    </row>
    <row r="19" spans="1:15" x14ac:dyDescent="0.2">
      <c r="A19" s="635"/>
      <c r="B19" s="637" t="s">
        <v>4442</v>
      </c>
      <c r="C19" s="636"/>
      <c r="D19" s="635"/>
      <c r="E19" s="637" t="s">
        <v>4442</v>
      </c>
      <c r="F19" s="636"/>
      <c r="G19" s="635"/>
      <c r="H19" s="637" t="s">
        <v>4442</v>
      </c>
      <c r="I19" s="636"/>
      <c r="J19" s="635"/>
      <c r="K19" s="637" t="s">
        <v>4442</v>
      </c>
      <c r="L19" s="636"/>
      <c r="M19" s="635"/>
      <c r="N19" s="637" t="s">
        <v>4442</v>
      </c>
      <c r="O19" s="636"/>
    </row>
    <row r="20" spans="1:15" x14ac:dyDescent="0.2">
      <c r="A20" s="635"/>
      <c r="B20" s="456"/>
      <c r="C20" s="636"/>
      <c r="D20" s="635"/>
      <c r="E20" s="456"/>
      <c r="F20" s="636"/>
      <c r="G20" s="635"/>
      <c r="H20" s="456"/>
      <c r="I20" s="636"/>
      <c r="J20" s="635"/>
      <c r="K20" s="456"/>
      <c r="L20" s="636"/>
      <c r="M20" s="635"/>
      <c r="N20" s="456"/>
      <c r="O20" s="636"/>
    </row>
    <row r="21" spans="1:15" x14ac:dyDescent="0.2">
      <c r="A21" s="635">
        <v>1</v>
      </c>
      <c r="B21" s="456" t="s">
        <v>4405</v>
      </c>
      <c r="C21" s="636">
        <v>0.70099999999999996</v>
      </c>
      <c r="D21" s="635">
        <v>1</v>
      </c>
      <c r="E21" s="456" t="s">
        <v>1150</v>
      </c>
      <c r="F21" s="636">
        <v>0.73299999999999998</v>
      </c>
      <c r="G21" s="635">
        <v>1</v>
      </c>
      <c r="H21" s="456" t="s">
        <v>2011</v>
      </c>
      <c r="I21" s="636">
        <v>0.72199999999999998</v>
      </c>
      <c r="J21" s="635">
        <v>1</v>
      </c>
      <c r="K21" s="456" t="s">
        <v>1150</v>
      </c>
      <c r="L21" s="636">
        <v>0.74</v>
      </c>
      <c r="M21" s="635">
        <v>1</v>
      </c>
      <c r="N21" s="456" t="s">
        <v>3743</v>
      </c>
      <c r="O21" s="636">
        <v>0.70599999999999996</v>
      </c>
    </row>
    <row r="22" spans="1:15" x14ac:dyDescent="0.2">
      <c r="A22" s="635">
        <v>2</v>
      </c>
      <c r="B22" s="456" t="s">
        <v>2566</v>
      </c>
      <c r="C22" s="636">
        <v>0.69699999999999995</v>
      </c>
      <c r="D22" s="635">
        <v>2</v>
      </c>
      <c r="E22" s="456" t="s">
        <v>4570</v>
      </c>
      <c r="F22" s="636">
        <v>0.70199999999999996</v>
      </c>
      <c r="G22" s="635">
        <v>2</v>
      </c>
      <c r="H22" s="456" t="s">
        <v>2566</v>
      </c>
      <c r="I22" s="636">
        <v>0.71499999999999997</v>
      </c>
      <c r="J22" s="635">
        <v>2</v>
      </c>
      <c r="K22" s="456" t="s">
        <v>117</v>
      </c>
      <c r="L22" s="636">
        <v>0.73799999999999999</v>
      </c>
      <c r="M22" s="635">
        <v>2</v>
      </c>
      <c r="N22" s="456" t="s">
        <v>1030</v>
      </c>
      <c r="O22" s="636">
        <v>0.69899999999999995</v>
      </c>
    </row>
    <row r="23" spans="1:15" x14ac:dyDescent="0.2">
      <c r="A23" s="635">
        <v>3</v>
      </c>
      <c r="B23" s="456" t="s">
        <v>4570</v>
      </c>
      <c r="C23" s="636">
        <v>0.69399999999999995</v>
      </c>
      <c r="D23" s="635">
        <v>3</v>
      </c>
      <c r="E23" s="456" t="s">
        <v>319</v>
      </c>
      <c r="F23" s="636">
        <v>0.67400000000000004</v>
      </c>
      <c r="G23" s="635">
        <v>3</v>
      </c>
      <c r="H23" s="456" t="s">
        <v>319</v>
      </c>
      <c r="I23" s="636">
        <v>0.68200000000000005</v>
      </c>
      <c r="J23" s="635">
        <v>3</v>
      </c>
      <c r="K23" s="456" t="s">
        <v>2566</v>
      </c>
      <c r="L23" s="636">
        <v>0.68799999999999994</v>
      </c>
      <c r="M23" s="635">
        <v>3</v>
      </c>
      <c r="N23" s="638" t="s">
        <v>1150</v>
      </c>
      <c r="O23" s="639">
        <v>6.96</v>
      </c>
    </row>
    <row r="24" spans="1:15" x14ac:dyDescent="0.2">
      <c r="A24" s="635">
        <v>4</v>
      </c>
      <c r="B24" s="456" t="s">
        <v>4280</v>
      </c>
      <c r="C24" s="636">
        <v>0.67700000000000005</v>
      </c>
      <c r="D24" s="635">
        <v>4</v>
      </c>
      <c r="E24" s="456" t="s">
        <v>4725</v>
      </c>
      <c r="F24" s="636">
        <v>0.67400000000000004</v>
      </c>
      <c r="G24" s="635">
        <v>4</v>
      </c>
      <c r="H24" s="456" t="s">
        <v>1952</v>
      </c>
      <c r="I24" s="636">
        <v>0.65700000000000003</v>
      </c>
      <c r="J24" s="635">
        <v>4</v>
      </c>
      <c r="K24" s="456" t="s">
        <v>1952</v>
      </c>
      <c r="L24" s="636">
        <v>0.68300000000000005</v>
      </c>
      <c r="M24" s="635">
        <v>4</v>
      </c>
      <c r="N24" s="456" t="s">
        <v>2566</v>
      </c>
      <c r="O24" s="636">
        <v>0.67900000000000005</v>
      </c>
    </row>
    <row r="25" spans="1:15" x14ac:dyDescent="0.2">
      <c r="A25" s="635">
        <v>5</v>
      </c>
      <c r="B25" s="456" t="s">
        <v>319</v>
      </c>
      <c r="C25" s="636">
        <v>0.67400000000000004</v>
      </c>
      <c r="D25" s="635">
        <v>5</v>
      </c>
      <c r="E25" s="456" t="s">
        <v>4436</v>
      </c>
      <c r="F25" s="636">
        <v>0.66700000000000004</v>
      </c>
      <c r="G25" s="635">
        <v>5</v>
      </c>
      <c r="H25" s="456" t="s">
        <v>4570</v>
      </c>
      <c r="I25" s="636">
        <v>0.65600000000000003</v>
      </c>
      <c r="J25" s="635">
        <v>5</v>
      </c>
      <c r="K25" s="456" t="s">
        <v>4107</v>
      </c>
      <c r="L25" s="636">
        <v>0.67900000000000005</v>
      </c>
      <c r="M25" s="635">
        <v>5</v>
      </c>
      <c r="N25" s="456" t="s">
        <v>4446</v>
      </c>
      <c r="O25" s="636">
        <v>0.67600000000000005</v>
      </c>
    </row>
    <row r="26" spans="1:15" x14ac:dyDescent="0.2">
      <c r="A26" s="635">
        <v>6</v>
      </c>
      <c r="B26" s="456" t="s">
        <v>401</v>
      </c>
      <c r="C26" s="636">
        <v>0.67300000000000004</v>
      </c>
      <c r="D26" s="635">
        <v>6</v>
      </c>
      <c r="E26" s="456" t="s">
        <v>3752</v>
      </c>
      <c r="F26" s="636">
        <v>0.66400000000000003</v>
      </c>
      <c r="G26" s="635">
        <v>6</v>
      </c>
      <c r="H26" s="456" t="s">
        <v>784</v>
      </c>
      <c r="I26" s="636">
        <v>0.65300000000000002</v>
      </c>
      <c r="J26" s="635">
        <v>6</v>
      </c>
      <c r="K26" s="456" t="s">
        <v>3751</v>
      </c>
      <c r="L26" s="636">
        <v>0.67100000000000004</v>
      </c>
      <c r="M26" s="635">
        <v>6</v>
      </c>
      <c r="N26" s="456" t="s">
        <v>4283</v>
      </c>
      <c r="O26" s="636">
        <v>0.66900000000000004</v>
      </c>
    </row>
    <row r="27" spans="1:15" x14ac:dyDescent="0.2">
      <c r="A27" s="635">
        <v>7</v>
      </c>
      <c r="B27" s="456" t="s">
        <v>3752</v>
      </c>
      <c r="C27" s="636">
        <v>0.67200000000000004</v>
      </c>
      <c r="D27" s="635">
        <v>7</v>
      </c>
      <c r="E27" s="456" t="s">
        <v>4405</v>
      </c>
      <c r="F27" s="636">
        <v>0.66100000000000003</v>
      </c>
      <c r="G27" s="635">
        <v>7</v>
      </c>
      <c r="H27" s="456" t="s">
        <v>3751</v>
      </c>
      <c r="I27" s="636">
        <v>0.65</v>
      </c>
      <c r="J27" s="635">
        <v>7</v>
      </c>
      <c r="K27" s="456" t="s">
        <v>4283</v>
      </c>
      <c r="L27" s="636">
        <v>0.65500000000000003</v>
      </c>
      <c r="M27" s="635">
        <v>7</v>
      </c>
      <c r="N27" s="456" t="s">
        <v>1952</v>
      </c>
      <c r="O27" s="636">
        <v>0.66700000000000004</v>
      </c>
    </row>
    <row r="28" spans="1:15" x14ac:dyDescent="0.2">
      <c r="A28" s="635">
        <v>8</v>
      </c>
      <c r="B28" s="456" t="s">
        <v>4276</v>
      </c>
      <c r="C28" s="636">
        <v>0.66900000000000004</v>
      </c>
      <c r="D28" s="635">
        <v>8</v>
      </c>
      <c r="E28" s="456" t="s">
        <v>1952</v>
      </c>
      <c r="F28" s="636">
        <v>0.65800000000000003</v>
      </c>
      <c r="G28" s="635">
        <v>8</v>
      </c>
      <c r="H28" s="456" t="s">
        <v>4107</v>
      </c>
      <c r="I28" s="636">
        <v>0.64600000000000002</v>
      </c>
      <c r="J28" s="635">
        <v>8</v>
      </c>
      <c r="K28" s="456" t="s">
        <v>319</v>
      </c>
      <c r="L28" s="636">
        <v>0.64600000000000002</v>
      </c>
      <c r="M28" s="635">
        <v>8</v>
      </c>
      <c r="N28" s="456" t="s">
        <v>117</v>
      </c>
      <c r="O28" s="636">
        <v>0.66700000000000004</v>
      </c>
    </row>
    <row r="29" spans="1:15" x14ac:dyDescent="0.2">
      <c r="A29" s="635">
        <v>9</v>
      </c>
      <c r="B29" s="638" t="s">
        <v>1022</v>
      </c>
      <c r="C29" s="639">
        <v>0.66300000000000003</v>
      </c>
      <c r="D29" s="635">
        <v>9</v>
      </c>
      <c r="E29" s="456" t="s">
        <v>4276</v>
      </c>
      <c r="F29" s="636">
        <v>0.65400000000000003</v>
      </c>
      <c r="G29" s="635">
        <v>9</v>
      </c>
      <c r="H29" s="456" t="s">
        <v>3752</v>
      </c>
      <c r="I29" s="636">
        <v>0.63300000000000001</v>
      </c>
      <c r="J29" s="635">
        <v>9</v>
      </c>
      <c r="K29" s="456" t="s">
        <v>315</v>
      </c>
      <c r="L29" s="636">
        <v>0.623</v>
      </c>
      <c r="M29" s="635">
        <v>9</v>
      </c>
      <c r="N29" s="456" t="s">
        <v>3751</v>
      </c>
      <c r="O29" s="636">
        <v>0.65300000000000002</v>
      </c>
    </row>
    <row r="30" spans="1:15" x14ac:dyDescent="0.2">
      <c r="A30" s="635">
        <v>10</v>
      </c>
      <c r="B30" s="456" t="s">
        <v>1952</v>
      </c>
      <c r="C30" s="636">
        <v>0.65500000000000003</v>
      </c>
      <c r="D30" s="635">
        <v>10</v>
      </c>
      <c r="E30" s="456" t="s">
        <v>3751</v>
      </c>
      <c r="F30" s="636">
        <v>0.65100000000000002</v>
      </c>
      <c r="G30" s="635">
        <v>10</v>
      </c>
      <c r="H30" s="456" t="s">
        <v>1030</v>
      </c>
      <c r="I30" s="636">
        <v>0.59499999999999997</v>
      </c>
      <c r="J30" s="635">
        <v>10</v>
      </c>
      <c r="K30" s="456" t="s">
        <v>187</v>
      </c>
      <c r="L30" s="636">
        <v>0.61699999999999999</v>
      </c>
      <c r="M30" s="635">
        <v>10</v>
      </c>
      <c r="N30" s="456" t="s">
        <v>319</v>
      </c>
      <c r="O30" s="636">
        <v>0.64200000000000002</v>
      </c>
    </row>
    <row r="31" spans="1:15" x14ac:dyDescent="0.2">
      <c r="A31" s="635">
        <v>11</v>
      </c>
      <c r="B31" s="456" t="s">
        <v>4103</v>
      </c>
      <c r="C31" s="636">
        <v>0.65400000000000003</v>
      </c>
      <c r="D31" s="635">
        <v>11</v>
      </c>
      <c r="E31" s="456" t="s">
        <v>4107</v>
      </c>
      <c r="F31" s="636">
        <v>0.64300000000000002</v>
      </c>
      <c r="G31" s="635"/>
      <c r="H31" s="456"/>
      <c r="I31" s="636"/>
      <c r="J31" s="635"/>
      <c r="K31" s="456"/>
      <c r="L31" s="636"/>
      <c r="M31" s="635">
        <v>11</v>
      </c>
      <c r="N31" s="456" t="s">
        <v>3752</v>
      </c>
      <c r="O31" s="636">
        <v>0.623</v>
      </c>
    </row>
    <row r="32" spans="1:15" x14ac:dyDescent="0.2">
      <c r="A32" s="635">
        <v>12</v>
      </c>
      <c r="B32" s="456" t="s">
        <v>4107</v>
      </c>
      <c r="C32" s="636">
        <v>0.64200000000000002</v>
      </c>
      <c r="D32" s="635">
        <v>11</v>
      </c>
      <c r="E32" s="456" t="s">
        <v>4283</v>
      </c>
      <c r="F32" s="636">
        <v>0.64300000000000002</v>
      </c>
      <c r="G32" s="635"/>
      <c r="H32" s="456"/>
      <c r="I32" s="636"/>
      <c r="J32" s="635"/>
      <c r="K32" s="456"/>
      <c r="L32" s="636"/>
      <c r="M32" s="635">
        <v>12</v>
      </c>
      <c r="N32" s="456" t="s">
        <v>187</v>
      </c>
      <c r="O32" s="636">
        <v>0.61499999999999999</v>
      </c>
    </row>
    <row r="33" spans="1:15" x14ac:dyDescent="0.2">
      <c r="A33" s="635">
        <v>13</v>
      </c>
      <c r="B33" s="638" t="s">
        <v>1954</v>
      </c>
      <c r="C33" s="639">
        <v>0.63900000000000001</v>
      </c>
      <c r="D33" s="635">
        <v>13</v>
      </c>
      <c r="E33" s="456" t="s">
        <v>315</v>
      </c>
      <c r="F33" s="636">
        <v>0.64100000000000001</v>
      </c>
      <c r="G33" s="635"/>
      <c r="H33" s="456"/>
      <c r="I33" s="636"/>
      <c r="J33" s="635"/>
      <c r="K33" s="456"/>
      <c r="L33" s="636"/>
      <c r="M33" s="635">
        <v>13</v>
      </c>
      <c r="N33" s="456" t="s">
        <v>4447</v>
      </c>
      <c r="O33" s="636">
        <v>0.60699999999999998</v>
      </c>
    </row>
    <row r="34" spans="1:15" x14ac:dyDescent="0.2">
      <c r="A34" s="635">
        <v>14</v>
      </c>
      <c r="B34" s="456" t="s">
        <v>4283</v>
      </c>
      <c r="C34" s="636">
        <v>0.63200000000000001</v>
      </c>
      <c r="D34" s="635">
        <v>14</v>
      </c>
      <c r="E34" s="456" t="s">
        <v>401</v>
      </c>
      <c r="F34" s="636">
        <v>0.64</v>
      </c>
      <c r="G34" s="635"/>
      <c r="H34" s="456"/>
      <c r="I34" s="636"/>
      <c r="J34" s="635"/>
      <c r="K34" s="456"/>
      <c r="L34" s="636"/>
      <c r="M34" s="635">
        <v>14</v>
      </c>
      <c r="N34" s="638" t="s">
        <v>4282</v>
      </c>
      <c r="O34" s="639">
        <v>0.60099999999999998</v>
      </c>
    </row>
    <row r="35" spans="1:15" x14ac:dyDescent="0.2">
      <c r="A35" s="635">
        <v>15</v>
      </c>
      <c r="B35" s="456" t="s">
        <v>3751</v>
      </c>
      <c r="C35" s="636">
        <v>0.626</v>
      </c>
      <c r="D35" s="635">
        <v>15</v>
      </c>
      <c r="E35" s="456" t="s">
        <v>4103</v>
      </c>
      <c r="F35" s="636">
        <v>0.63100000000000001</v>
      </c>
      <c r="G35" s="635"/>
      <c r="H35" s="456"/>
      <c r="I35" s="636"/>
      <c r="J35" s="635"/>
      <c r="K35" s="456"/>
      <c r="L35" s="636"/>
      <c r="M35" s="635">
        <v>15</v>
      </c>
      <c r="N35" s="638" t="s">
        <v>4103</v>
      </c>
      <c r="O35" s="639">
        <v>0.59799999999999998</v>
      </c>
    </row>
    <row r="36" spans="1:15" x14ac:dyDescent="0.2">
      <c r="A36" s="635"/>
      <c r="B36" s="456"/>
      <c r="C36" s="636"/>
      <c r="D36" s="635">
        <v>16</v>
      </c>
      <c r="E36" s="456" t="s">
        <v>4280</v>
      </c>
      <c r="F36" s="636">
        <v>0.628</v>
      </c>
      <c r="G36" s="635"/>
      <c r="H36" s="456"/>
      <c r="I36" s="636"/>
      <c r="J36" s="635"/>
      <c r="K36" s="456"/>
      <c r="L36" s="636"/>
      <c r="M36" s="635">
        <v>16</v>
      </c>
      <c r="N36" s="638" t="s">
        <v>4437</v>
      </c>
      <c r="O36" s="639">
        <v>0.56899999999999995</v>
      </c>
    </row>
    <row r="37" spans="1:15" x14ac:dyDescent="0.2">
      <c r="A37" s="635"/>
      <c r="B37" s="456"/>
      <c r="C37" s="636"/>
      <c r="D37" s="635">
        <v>17</v>
      </c>
      <c r="E37" s="456" t="s">
        <v>4447</v>
      </c>
      <c r="F37" s="636">
        <v>0.623</v>
      </c>
      <c r="G37" s="635"/>
      <c r="H37" s="456"/>
      <c r="I37" s="636"/>
      <c r="J37" s="635"/>
      <c r="K37" s="456"/>
      <c r="L37" s="636"/>
      <c r="M37" s="635"/>
      <c r="N37" s="638"/>
      <c r="O37" s="639"/>
    </row>
    <row r="38" spans="1:15" x14ac:dyDescent="0.2">
      <c r="A38" s="635"/>
      <c r="B38" s="456"/>
      <c r="C38" s="636"/>
      <c r="D38" s="635">
        <v>18</v>
      </c>
      <c r="E38" s="456" t="s">
        <v>4105</v>
      </c>
      <c r="F38" s="636">
        <v>0.57499999999999996</v>
      </c>
      <c r="G38" s="635"/>
      <c r="H38" s="456"/>
      <c r="I38" s="636"/>
      <c r="J38" s="635"/>
      <c r="K38" s="456"/>
      <c r="L38" s="636"/>
      <c r="M38" s="635"/>
      <c r="N38" s="638"/>
      <c r="O38" s="639"/>
    </row>
    <row r="39" spans="1:15" x14ac:dyDescent="0.2">
      <c r="A39" s="635"/>
      <c r="B39" s="456"/>
      <c r="C39" s="636"/>
      <c r="D39" s="635"/>
      <c r="E39" s="456"/>
      <c r="F39" s="636"/>
      <c r="G39" s="635"/>
      <c r="H39" s="456"/>
      <c r="I39" s="636"/>
      <c r="J39" s="635"/>
      <c r="K39" s="456"/>
      <c r="L39" s="636"/>
      <c r="M39" s="635"/>
      <c r="N39" s="638"/>
      <c r="O39" s="639"/>
    </row>
    <row r="40" spans="1:15" x14ac:dyDescent="0.2">
      <c r="A40" s="635"/>
      <c r="B40" s="456"/>
      <c r="C40" s="636"/>
      <c r="D40" s="635"/>
      <c r="E40" s="456"/>
      <c r="F40" s="636"/>
      <c r="G40" s="635"/>
      <c r="H40" s="456"/>
      <c r="I40" s="636"/>
      <c r="J40" s="635"/>
      <c r="K40" s="456"/>
      <c r="L40" s="636"/>
      <c r="M40" s="635"/>
      <c r="N40" s="456"/>
      <c r="O40" s="636"/>
    </row>
    <row r="41" spans="1:15" x14ac:dyDescent="0.2">
      <c r="A41" s="635"/>
      <c r="B41" s="637" t="s">
        <v>4443</v>
      </c>
      <c r="C41" s="636"/>
      <c r="D41" s="635"/>
      <c r="E41" s="637" t="s">
        <v>4443</v>
      </c>
      <c r="F41" s="636"/>
      <c r="G41" s="635"/>
      <c r="H41" s="637" t="s">
        <v>4443</v>
      </c>
      <c r="I41" s="636"/>
      <c r="J41" s="635"/>
      <c r="K41" s="637" t="s">
        <v>4443</v>
      </c>
      <c r="L41" s="636"/>
      <c r="M41" s="635"/>
      <c r="N41" s="637" t="s">
        <v>4443</v>
      </c>
      <c r="O41" s="636"/>
    </row>
    <row r="42" spans="1:15" x14ac:dyDescent="0.2">
      <c r="A42" s="635"/>
      <c r="B42" s="456"/>
      <c r="C42" s="636"/>
      <c r="D42" s="635"/>
      <c r="E42" s="456"/>
      <c r="F42" s="636"/>
      <c r="G42" s="635"/>
      <c r="H42" s="456"/>
      <c r="I42" s="636"/>
      <c r="J42" s="635"/>
      <c r="K42" s="456"/>
      <c r="L42" s="636"/>
      <c r="M42" s="635"/>
      <c r="N42" s="456"/>
      <c r="O42" s="636"/>
    </row>
    <row r="43" spans="1:15" x14ac:dyDescent="0.2">
      <c r="A43" s="635">
        <v>1</v>
      </c>
      <c r="B43" s="638" t="s">
        <v>2579</v>
      </c>
      <c r="C43" s="639">
        <v>0.54400000000000004</v>
      </c>
      <c r="D43" s="635">
        <v>1</v>
      </c>
      <c r="E43" s="638" t="s">
        <v>4405</v>
      </c>
      <c r="F43" s="639">
        <v>0.64200000000000002</v>
      </c>
      <c r="G43" s="635">
        <v>1</v>
      </c>
      <c r="H43" s="638" t="s">
        <v>4405</v>
      </c>
      <c r="I43" s="639">
        <v>0.54300000000000004</v>
      </c>
      <c r="J43" s="635">
        <v>1</v>
      </c>
      <c r="K43" s="456" t="s">
        <v>4436</v>
      </c>
      <c r="L43" s="636">
        <v>0.61399999999999999</v>
      </c>
      <c r="M43" s="635">
        <v>1</v>
      </c>
      <c r="N43" s="456" t="s">
        <v>1954</v>
      </c>
      <c r="O43" s="636">
        <v>0.60399999999999998</v>
      </c>
    </row>
    <row r="44" spans="1:15" x14ac:dyDescent="0.2">
      <c r="A44" s="635">
        <v>2</v>
      </c>
      <c r="B44" s="638" t="s">
        <v>190</v>
      </c>
      <c r="C44" s="639">
        <v>0.57499999999999996</v>
      </c>
      <c r="D44" s="635">
        <v>2</v>
      </c>
      <c r="E44" s="638" t="s">
        <v>4135</v>
      </c>
      <c r="F44" s="639">
        <v>0.64100000000000001</v>
      </c>
      <c r="G44" s="635">
        <v>2</v>
      </c>
      <c r="H44" s="638" t="s">
        <v>4447</v>
      </c>
      <c r="I44" s="639">
        <v>0.64200000000000002</v>
      </c>
      <c r="J44" s="635">
        <v>2</v>
      </c>
      <c r="K44" s="456" t="s">
        <v>1954</v>
      </c>
      <c r="L44" s="636">
        <v>0.58499999999999996</v>
      </c>
      <c r="M44" s="635">
        <v>2</v>
      </c>
      <c r="N44" s="456" t="s">
        <v>4105</v>
      </c>
      <c r="O44" s="636">
        <v>0.57199999999999995</v>
      </c>
    </row>
    <row r="45" spans="1:15" x14ac:dyDescent="0.2">
      <c r="A45" s="635">
        <v>3</v>
      </c>
      <c r="B45" s="638" t="s">
        <v>4438</v>
      </c>
      <c r="C45" s="639">
        <v>0.58299999999999996</v>
      </c>
      <c r="D45" s="635">
        <v>3</v>
      </c>
      <c r="E45" s="638" t="s">
        <v>1022</v>
      </c>
      <c r="F45" s="639">
        <v>0.63300000000000001</v>
      </c>
      <c r="G45" s="635">
        <v>3</v>
      </c>
      <c r="H45" s="638" t="s">
        <v>4103</v>
      </c>
      <c r="I45" s="639">
        <v>0.64</v>
      </c>
      <c r="J45" s="635">
        <v>3</v>
      </c>
      <c r="K45" s="638" t="s">
        <v>4103</v>
      </c>
      <c r="L45" s="639">
        <v>0.58499999999999996</v>
      </c>
      <c r="M45" s="635">
        <v>3</v>
      </c>
      <c r="N45" s="456" t="s">
        <v>4438</v>
      </c>
      <c r="O45" s="636">
        <v>0.56899999999999995</v>
      </c>
    </row>
    <row r="46" spans="1:15" x14ac:dyDescent="0.2">
      <c r="A46" s="635">
        <v>4</v>
      </c>
      <c r="B46" s="638" t="s">
        <v>4282</v>
      </c>
      <c r="C46" s="639">
        <v>0.59</v>
      </c>
      <c r="D46" s="635">
        <v>4</v>
      </c>
      <c r="E46" s="638" t="s">
        <v>1026</v>
      </c>
      <c r="F46" s="639">
        <v>0.59899999999999998</v>
      </c>
      <c r="G46" s="635">
        <v>4</v>
      </c>
      <c r="H46" s="638" t="s">
        <v>1954</v>
      </c>
      <c r="I46" s="639">
        <v>0.60899999999999999</v>
      </c>
      <c r="J46" s="635">
        <v>4</v>
      </c>
      <c r="K46" s="638" t="s">
        <v>190</v>
      </c>
      <c r="L46" s="639">
        <v>0.58299999999999996</v>
      </c>
      <c r="M46" s="635">
        <v>4</v>
      </c>
      <c r="N46" s="456" t="s">
        <v>2579</v>
      </c>
      <c r="O46" s="636">
        <v>0.56799999999999995</v>
      </c>
    </row>
    <row r="47" spans="1:15" x14ac:dyDescent="0.2">
      <c r="A47" s="635">
        <v>5</v>
      </c>
      <c r="B47" s="638" t="s">
        <v>1026</v>
      </c>
      <c r="C47" s="639">
        <v>0.61399999999999999</v>
      </c>
      <c r="D47" s="635">
        <v>5</v>
      </c>
      <c r="E47" s="638" t="s">
        <v>4438</v>
      </c>
      <c r="F47" s="639">
        <v>0.59699999999999998</v>
      </c>
      <c r="G47" s="635">
        <v>5</v>
      </c>
      <c r="H47" s="638" t="s">
        <v>1026</v>
      </c>
      <c r="I47" s="639">
        <v>0.60299999999999998</v>
      </c>
      <c r="J47" s="635">
        <v>5</v>
      </c>
      <c r="K47" s="638" t="s">
        <v>4282</v>
      </c>
      <c r="L47" s="639">
        <v>0.57599999999999996</v>
      </c>
      <c r="M47" s="635">
        <v>5</v>
      </c>
      <c r="N47" s="456" t="s">
        <v>4439</v>
      </c>
      <c r="O47" s="636">
        <v>0.56699999999999995</v>
      </c>
    </row>
    <row r="48" spans="1:15" x14ac:dyDescent="0.2">
      <c r="A48" s="635"/>
      <c r="B48" s="638"/>
      <c r="C48" s="639"/>
      <c r="D48" s="635">
        <v>6</v>
      </c>
      <c r="E48" s="638" t="s">
        <v>1025</v>
      </c>
      <c r="F48" s="639">
        <v>0.57899999999999996</v>
      </c>
      <c r="G48" s="635">
        <v>6</v>
      </c>
      <c r="H48" s="638" t="s">
        <v>2579</v>
      </c>
      <c r="I48" s="639">
        <v>0.58099999999999996</v>
      </c>
      <c r="J48" s="635">
        <v>6</v>
      </c>
      <c r="K48" s="638" t="s">
        <v>4405</v>
      </c>
      <c r="L48" s="639">
        <v>0.57699999999999996</v>
      </c>
      <c r="M48" s="635">
        <v>6</v>
      </c>
      <c r="N48" s="638" t="s">
        <v>4280</v>
      </c>
      <c r="O48" s="639">
        <v>0.55300000000000005</v>
      </c>
    </row>
    <row r="49" spans="1:15" x14ac:dyDescent="0.2">
      <c r="A49" s="635"/>
      <c r="B49" s="638"/>
      <c r="C49" s="639"/>
      <c r="D49" s="635">
        <v>7</v>
      </c>
      <c r="E49" s="638" t="s">
        <v>4440</v>
      </c>
      <c r="F49" s="639">
        <v>0.57099999999999995</v>
      </c>
      <c r="G49" s="635">
        <v>7</v>
      </c>
      <c r="H49" s="638" t="s">
        <v>4282</v>
      </c>
      <c r="I49" s="639">
        <v>0.57499999999999996</v>
      </c>
      <c r="J49" s="635">
        <v>7</v>
      </c>
      <c r="K49" s="638" t="s">
        <v>4437</v>
      </c>
      <c r="L49" s="639">
        <v>0.56999999999999995</v>
      </c>
      <c r="M49" s="635">
        <v>7</v>
      </c>
      <c r="N49" s="638" t="s">
        <v>4135</v>
      </c>
      <c r="O49" s="639">
        <v>0.54600000000000004</v>
      </c>
    </row>
    <row r="50" spans="1:15" x14ac:dyDescent="0.2">
      <c r="A50" s="635"/>
      <c r="B50" s="638"/>
      <c r="C50" s="639"/>
      <c r="D50" s="635"/>
      <c r="E50" s="638"/>
      <c r="F50" s="639"/>
      <c r="G50" s="635">
        <v>8</v>
      </c>
      <c r="H50" s="638" t="s">
        <v>4438</v>
      </c>
      <c r="I50" s="639">
        <v>0.56899999999999995</v>
      </c>
      <c r="J50" s="635">
        <v>8</v>
      </c>
      <c r="K50" s="638" t="s">
        <v>4438</v>
      </c>
      <c r="L50" s="639">
        <v>0.55600000000000005</v>
      </c>
      <c r="M50" s="635">
        <v>8</v>
      </c>
      <c r="N50" s="638" t="s">
        <v>1025</v>
      </c>
      <c r="O50" s="639">
        <v>0.53100000000000003</v>
      </c>
    </row>
    <row r="51" spans="1:15" x14ac:dyDescent="0.2">
      <c r="A51" s="635"/>
      <c r="B51" s="638"/>
      <c r="C51" s="636"/>
      <c r="D51" s="635"/>
      <c r="E51" s="638"/>
      <c r="F51" s="639"/>
      <c r="G51" s="635">
        <v>9</v>
      </c>
      <c r="H51" s="638" t="s">
        <v>4135</v>
      </c>
      <c r="I51" s="639">
        <v>0.56799999999999995</v>
      </c>
      <c r="J51" s="635">
        <v>9</v>
      </c>
      <c r="K51" s="638" t="s">
        <v>4439</v>
      </c>
      <c r="L51" s="639">
        <v>0.51100000000000001</v>
      </c>
      <c r="M51" s="635">
        <v>9</v>
      </c>
      <c r="N51" s="638" t="s">
        <v>4288</v>
      </c>
      <c r="O51" s="639">
        <v>0.51400000000000001</v>
      </c>
    </row>
    <row r="52" spans="1:15" x14ac:dyDescent="0.2">
      <c r="A52" s="635"/>
      <c r="B52" s="640" t="s">
        <v>4444</v>
      </c>
      <c r="C52" s="636"/>
      <c r="D52" s="635"/>
      <c r="E52" s="638"/>
      <c r="F52" s="636"/>
      <c r="G52" s="635"/>
      <c r="H52" s="638"/>
      <c r="I52" s="636"/>
      <c r="J52" s="635"/>
      <c r="K52" s="638"/>
      <c r="L52" s="639"/>
      <c r="M52" s="635"/>
      <c r="N52" s="456"/>
      <c r="O52" s="636"/>
    </row>
    <row r="53" spans="1:15" x14ac:dyDescent="0.2">
      <c r="A53" s="635"/>
      <c r="B53" s="640"/>
      <c r="C53" s="636"/>
      <c r="D53" s="635"/>
      <c r="E53" s="640" t="s">
        <v>4444</v>
      </c>
      <c r="F53" s="636"/>
      <c r="G53" s="635"/>
      <c r="H53" s="640" t="s">
        <v>4444</v>
      </c>
      <c r="I53" s="636"/>
      <c r="J53" s="635"/>
      <c r="K53" s="640" t="s">
        <v>4444</v>
      </c>
      <c r="L53" s="639"/>
      <c r="M53" s="635"/>
      <c r="N53" s="637" t="s">
        <v>4444</v>
      </c>
      <c r="O53" s="636"/>
    </row>
    <row r="54" spans="1:15" x14ac:dyDescent="0.2">
      <c r="A54" s="635">
        <v>1</v>
      </c>
      <c r="B54" s="638" t="s">
        <v>4491</v>
      </c>
      <c r="C54" s="639">
        <v>0.57599999999999996</v>
      </c>
      <c r="D54" s="635"/>
      <c r="E54" s="640"/>
      <c r="F54" s="636"/>
      <c r="G54" s="635"/>
      <c r="H54" s="640"/>
      <c r="I54" s="636"/>
      <c r="J54" s="635"/>
      <c r="K54" s="640"/>
      <c r="L54" s="639"/>
      <c r="M54" s="635"/>
      <c r="N54" s="637"/>
      <c r="O54" s="636"/>
    </row>
    <row r="55" spans="1:15" x14ac:dyDescent="0.2">
      <c r="A55" s="635">
        <v>2</v>
      </c>
      <c r="B55" s="638" t="s">
        <v>3741</v>
      </c>
      <c r="C55" s="639">
        <v>0.49</v>
      </c>
      <c r="D55" s="635">
        <v>1</v>
      </c>
      <c r="E55" s="638" t="s">
        <v>4572</v>
      </c>
      <c r="F55" s="639">
        <v>0.51800000000000002</v>
      </c>
      <c r="G55" s="635">
        <v>1</v>
      </c>
      <c r="H55" s="638" t="s">
        <v>4280</v>
      </c>
      <c r="I55" s="639">
        <v>0.623</v>
      </c>
      <c r="J55" s="635">
        <v>1</v>
      </c>
      <c r="K55" s="638" t="s">
        <v>4135</v>
      </c>
      <c r="L55" s="639">
        <v>0.59299999999999997</v>
      </c>
      <c r="M55" s="635">
        <v>1</v>
      </c>
      <c r="N55" s="456" t="s">
        <v>3742</v>
      </c>
      <c r="O55" s="636">
        <v>0.53200000000000003</v>
      </c>
    </row>
    <row r="56" spans="1:15" x14ac:dyDescent="0.2">
      <c r="A56" s="635"/>
      <c r="B56" s="638"/>
      <c r="C56" s="639"/>
      <c r="D56" s="635"/>
      <c r="E56" s="638"/>
      <c r="F56" s="639"/>
      <c r="G56" s="635">
        <v>2</v>
      </c>
      <c r="H56" s="638" t="s">
        <v>401</v>
      </c>
      <c r="I56" s="639">
        <v>0.61099999999999999</v>
      </c>
      <c r="J56" s="635">
        <v>2</v>
      </c>
      <c r="K56" s="638" t="s">
        <v>1025</v>
      </c>
      <c r="L56" s="639">
        <v>0.56999999999999995</v>
      </c>
      <c r="M56" s="635">
        <v>2</v>
      </c>
      <c r="N56" s="456" t="s">
        <v>4440</v>
      </c>
      <c r="O56" s="636">
        <v>0.52700000000000002</v>
      </c>
    </row>
    <row r="57" spans="1:15" x14ac:dyDescent="0.2">
      <c r="A57" s="635"/>
      <c r="B57" s="638"/>
      <c r="C57" s="639"/>
      <c r="D57" s="635"/>
      <c r="E57" s="638"/>
      <c r="F57" s="639"/>
      <c r="G57" s="635">
        <v>3</v>
      </c>
      <c r="H57" s="638" t="s">
        <v>4440</v>
      </c>
      <c r="I57" s="639">
        <v>0.59799999999999998</v>
      </c>
      <c r="J57" s="635">
        <v>3</v>
      </c>
      <c r="K57" s="638" t="s">
        <v>4440</v>
      </c>
      <c r="L57" s="639">
        <v>0.55700000000000005</v>
      </c>
      <c r="M57" s="635">
        <v>3</v>
      </c>
      <c r="N57" s="456" t="s">
        <v>1172</v>
      </c>
      <c r="O57" s="636">
        <v>0.47899999999999998</v>
      </c>
    </row>
    <row r="58" spans="1:15" x14ac:dyDescent="0.2">
      <c r="A58" s="635"/>
      <c r="B58" s="638"/>
      <c r="C58" s="639"/>
      <c r="D58" s="635"/>
      <c r="E58" s="638"/>
      <c r="F58" s="639"/>
      <c r="G58" s="635">
        <v>4</v>
      </c>
      <c r="H58" s="638" t="s">
        <v>4571</v>
      </c>
      <c r="I58" s="639">
        <v>0.56499999999999995</v>
      </c>
      <c r="J58" s="635">
        <v>4</v>
      </c>
      <c r="K58" s="638" t="s">
        <v>1026</v>
      </c>
      <c r="L58" s="639">
        <v>0.55700000000000005</v>
      </c>
      <c r="M58" s="635"/>
      <c r="N58" s="456"/>
      <c r="O58" s="636"/>
    </row>
    <row r="59" spans="1:15" x14ac:dyDescent="0.2">
      <c r="A59" s="635"/>
      <c r="B59" s="638"/>
      <c r="C59" s="639"/>
      <c r="D59" s="635"/>
      <c r="E59" s="638"/>
      <c r="F59" s="639"/>
      <c r="G59" s="635">
        <v>5</v>
      </c>
      <c r="H59" s="638" t="s">
        <v>4727</v>
      </c>
      <c r="I59" s="639">
        <v>0.55900000000000005</v>
      </c>
      <c r="J59" s="635">
        <v>5</v>
      </c>
      <c r="K59" s="638" t="s">
        <v>4288</v>
      </c>
      <c r="L59" s="639">
        <v>0.55100000000000005</v>
      </c>
      <c r="M59" s="635"/>
      <c r="N59" s="456"/>
      <c r="O59" s="636"/>
    </row>
    <row r="60" spans="1:15" x14ac:dyDescent="0.2">
      <c r="A60" s="635"/>
      <c r="B60" s="638"/>
      <c r="C60" s="639"/>
      <c r="D60" s="635"/>
      <c r="E60" s="638"/>
      <c r="F60" s="639"/>
      <c r="G60" s="635">
        <v>6</v>
      </c>
      <c r="H60" s="638" t="s">
        <v>4491</v>
      </c>
      <c r="I60" s="639">
        <v>0.54800000000000004</v>
      </c>
      <c r="J60" s="635">
        <v>6</v>
      </c>
      <c r="K60" s="638" t="s">
        <v>401</v>
      </c>
      <c r="L60" s="639">
        <v>0.54900000000000004</v>
      </c>
      <c r="M60" s="635"/>
      <c r="N60" s="456"/>
      <c r="O60" s="636"/>
    </row>
    <row r="61" spans="1:15" x14ac:dyDescent="0.2">
      <c r="A61" s="635"/>
      <c r="B61" s="638"/>
      <c r="C61" s="639"/>
      <c r="D61" s="635"/>
      <c r="E61" s="638"/>
      <c r="F61" s="639"/>
      <c r="G61" s="635">
        <v>7</v>
      </c>
      <c r="H61" s="638" t="s">
        <v>3741</v>
      </c>
      <c r="I61" s="639">
        <v>0.53900000000000003</v>
      </c>
      <c r="J61" s="635">
        <v>7</v>
      </c>
      <c r="K61" s="638" t="s">
        <v>4280</v>
      </c>
      <c r="L61" s="639">
        <v>0.54300000000000004</v>
      </c>
      <c r="M61" s="635"/>
      <c r="N61" s="456"/>
      <c r="O61" s="636"/>
    </row>
    <row r="62" spans="1:15" x14ac:dyDescent="0.2">
      <c r="A62" s="635"/>
      <c r="B62" s="638"/>
      <c r="C62" s="639"/>
      <c r="D62" s="635"/>
      <c r="E62" s="638"/>
      <c r="F62" s="639"/>
      <c r="G62" s="635">
        <v>8</v>
      </c>
      <c r="H62" s="638" t="s">
        <v>4572</v>
      </c>
      <c r="I62" s="639">
        <v>0.51800000000000002</v>
      </c>
      <c r="J62" s="635">
        <v>8</v>
      </c>
      <c r="K62" s="638" t="s">
        <v>3742</v>
      </c>
      <c r="L62" s="639">
        <v>0.504</v>
      </c>
      <c r="M62" s="635"/>
      <c r="N62" s="456"/>
      <c r="O62" s="636"/>
    </row>
    <row r="63" spans="1:15" x14ac:dyDescent="0.2">
      <c r="A63" s="635"/>
      <c r="B63" s="638"/>
      <c r="C63" s="639"/>
      <c r="D63" s="635"/>
      <c r="E63" s="456"/>
      <c r="F63" s="639"/>
      <c r="G63" s="635">
        <v>9</v>
      </c>
      <c r="H63" s="638" t="s">
        <v>1172</v>
      </c>
      <c r="I63" s="639">
        <v>0.45400000000000001</v>
      </c>
      <c r="J63" s="635">
        <v>9</v>
      </c>
      <c r="K63" s="638" t="s">
        <v>4441</v>
      </c>
      <c r="L63" s="639">
        <v>0.499</v>
      </c>
      <c r="M63" s="635"/>
      <c r="N63" s="456"/>
      <c r="O63" s="636"/>
    </row>
    <row r="64" spans="1:15" x14ac:dyDescent="0.2">
      <c r="A64" s="641"/>
      <c r="B64" s="642"/>
      <c r="C64" s="643"/>
      <c r="D64" s="641"/>
      <c r="E64" s="644"/>
      <c r="F64" s="645"/>
      <c r="G64" s="641"/>
      <c r="H64" s="644"/>
      <c r="I64" s="645"/>
      <c r="J64" s="641"/>
      <c r="K64" s="644"/>
      <c r="L64" s="645"/>
      <c r="M64" s="646"/>
      <c r="N64" s="644"/>
      <c r="O64" s="647"/>
    </row>
    <row r="65" spans="3:3" x14ac:dyDescent="0.2">
      <c r="C65" s="634"/>
    </row>
  </sheetData>
  <sortState xmlns:xlrd2="http://schemas.microsoft.com/office/spreadsheetml/2017/richdata2" ref="B7:C15">
    <sortCondition descending="1" ref="C7:C15"/>
  </sortState>
  <mergeCells count="6">
    <mergeCell ref="A1:O1"/>
    <mergeCell ref="A3:C3"/>
    <mergeCell ref="D3:F3"/>
    <mergeCell ref="G3:I3"/>
    <mergeCell ref="J3:L3"/>
    <mergeCell ref="M3:O3"/>
  </mergeCells>
  <printOptions horizontalCentered="1"/>
  <pageMargins left="0" right="0" top="0" bottom="0" header="0" footer="0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233"/>
  <sheetViews>
    <sheetView zoomScale="75" workbookViewId="0">
      <pane xSplit="3" topLeftCell="D1" activePane="topRight" state="frozen"/>
      <selection activeCell="A52" sqref="A52"/>
      <selection pane="topRight" activeCell="B212" sqref="B212"/>
    </sheetView>
  </sheetViews>
  <sheetFormatPr defaultColWidth="9" defaultRowHeight="13.2" x14ac:dyDescent="0.25"/>
  <cols>
    <col min="1" max="1" width="11.109375" style="186" customWidth="1"/>
    <col min="2" max="2" width="12" style="232" bestFit="1" customWidth="1"/>
    <col min="3" max="3" width="18.33203125" style="232" bestFit="1" customWidth="1"/>
    <col min="4" max="4" width="49" style="165" bestFit="1" customWidth="1"/>
    <col min="5" max="5" width="7" style="133" customWidth="1"/>
    <col min="6" max="6" width="6.109375" style="133" customWidth="1"/>
    <col min="7" max="8" width="5.6640625" style="133" customWidth="1"/>
    <col min="9" max="9" width="5.88671875" style="133" bestFit="1" customWidth="1"/>
    <col min="10" max="10" width="4.33203125" style="133" customWidth="1"/>
    <col min="11" max="11" width="6.44140625" style="165" customWidth="1"/>
    <col min="12" max="12" width="6.109375" style="165" customWidth="1"/>
    <col min="13" max="13" width="5.6640625" style="133" customWidth="1"/>
    <col min="14" max="14" width="6.21875" style="187" customWidth="1"/>
    <col min="15" max="15" width="7.21875" style="188" customWidth="1"/>
    <col min="16" max="16" width="7.109375" style="188" customWidth="1"/>
    <col min="17" max="17" width="4.77734375" style="133" customWidth="1"/>
    <col min="18" max="19" width="9" style="165"/>
    <col min="20" max="20" width="9.5546875" style="165" bestFit="1" customWidth="1"/>
    <col min="21" max="16384" width="9" style="165"/>
  </cols>
  <sheetData>
    <row r="1" spans="1:17" s="133" customFormat="1" x14ac:dyDescent="0.25">
      <c r="A1" s="124"/>
      <c r="B1" s="208"/>
      <c r="C1" s="208"/>
      <c r="D1" s="126" t="s">
        <v>2974</v>
      </c>
      <c r="E1" s="127" t="s">
        <v>2975</v>
      </c>
      <c r="F1" s="125" t="s">
        <v>2976</v>
      </c>
      <c r="G1" s="125" t="s">
        <v>2977</v>
      </c>
      <c r="H1" s="125" t="s">
        <v>2978</v>
      </c>
      <c r="I1" s="128" t="s">
        <v>2979</v>
      </c>
      <c r="J1" s="126"/>
      <c r="K1" s="127" t="s">
        <v>2980</v>
      </c>
      <c r="L1" s="128"/>
      <c r="M1" s="126" t="s">
        <v>2981</v>
      </c>
      <c r="N1" s="129"/>
      <c r="O1" s="130" t="s">
        <v>2982</v>
      </c>
      <c r="P1" s="131" t="s">
        <v>2983</v>
      </c>
      <c r="Q1" s="132" t="s">
        <v>1987</v>
      </c>
    </row>
    <row r="2" spans="1:17" s="133" customFormat="1" x14ac:dyDescent="0.25">
      <c r="A2" s="134" t="s">
        <v>2012</v>
      </c>
      <c r="B2" s="209" t="s">
        <v>2984</v>
      </c>
      <c r="C2" s="210" t="s">
        <v>2985</v>
      </c>
      <c r="D2" s="136"/>
      <c r="E2" s="137"/>
      <c r="F2" s="138"/>
      <c r="G2" s="138"/>
      <c r="H2" s="138"/>
      <c r="I2" s="139" t="s">
        <v>2986</v>
      </c>
      <c r="J2" s="140"/>
      <c r="K2" s="141" t="s">
        <v>2987</v>
      </c>
      <c r="L2" s="142" t="s">
        <v>2987</v>
      </c>
      <c r="M2" s="140"/>
      <c r="N2" s="143" t="s">
        <v>2988</v>
      </c>
      <c r="O2" s="144" t="s">
        <v>2989</v>
      </c>
      <c r="P2" s="145" t="s">
        <v>2989</v>
      </c>
      <c r="Q2" s="146" t="s">
        <v>1986</v>
      </c>
    </row>
    <row r="3" spans="1:17" s="133" customFormat="1" ht="13.8" thickBot="1" x14ac:dyDescent="0.3">
      <c r="A3" s="147" t="s">
        <v>2990</v>
      </c>
      <c r="B3" s="211"/>
      <c r="C3" s="211"/>
      <c r="D3" s="148" t="s">
        <v>2991</v>
      </c>
      <c r="E3" s="149" t="s">
        <v>2992</v>
      </c>
      <c r="F3" s="150" t="s">
        <v>329</v>
      </c>
      <c r="G3" s="150" t="s">
        <v>330</v>
      </c>
      <c r="H3" s="150"/>
      <c r="I3" s="151"/>
      <c r="J3" s="152"/>
      <c r="K3" s="153"/>
      <c r="L3" s="154"/>
      <c r="M3" s="152"/>
      <c r="N3" s="155"/>
      <c r="O3" s="156"/>
      <c r="P3" s="157"/>
      <c r="Q3" s="158" t="s">
        <v>1985</v>
      </c>
    </row>
    <row r="4" spans="1:17" x14ac:dyDescent="0.25">
      <c r="A4" s="134">
        <v>33061</v>
      </c>
      <c r="B4" s="209" t="s">
        <v>331</v>
      </c>
      <c r="C4" s="212" t="s">
        <v>332</v>
      </c>
      <c r="D4" s="159" t="s">
        <v>3410</v>
      </c>
      <c r="E4" s="135">
        <v>452</v>
      </c>
      <c r="F4" s="135">
        <v>437</v>
      </c>
      <c r="G4" s="135">
        <v>450</v>
      </c>
      <c r="H4" s="135">
        <v>6</v>
      </c>
      <c r="I4" s="142"/>
      <c r="J4" s="140" t="s">
        <v>333</v>
      </c>
      <c r="K4" s="160">
        <f t="shared" ref="K4:K40" si="0">SUM(E4:J4)</f>
        <v>1345</v>
      </c>
      <c r="L4" s="161"/>
      <c r="M4" s="162">
        <v>14</v>
      </c>
      <c r="N4" s="143"/>
      <c r="O4" s="163"/>
      <c r="P4" s="145"/>
      <c r="Q4" s="164"/>
    </row>
    <row r="5" spans="1:17" x14ac:dyDescent="0.25">
      <c r="A5" s="166"/>
      <c r="B5" s="213"/>
      <c r="C5" s="214"/>
      <c r="D5" s="167" t="s">
        <v>3847</v>
      </c>
      <c r="E5" s="138"/>
      <c r="F5" s="138"/>
      <c r="G5" s="138"/>
      <c r="H5" s="138"/>
      <c r="I5" s="139"/>
      <c r="J5" s="136"/>
      <c r="K5" s="168">
        <f t="shared" si="0"/>
        <v>0</v>
      </c>
      <c r="L5" s="169">
        <f>+K4+K5</f>
        <v>1345</v>
      </c>
      <c r="M5" s="136">
        <v>17</v>
      </c>
      <c r="N5" s="170"/>
      <c r="O5" s="171">
        <v>1593</v>
      </c>
      <c r="P5" s="172">
        <v>1166</v>
      </c>
      <c r="Q5" s="173">
        <v>69</v>
      </c>
    </row>
    <row r="6" spans="1:17" x14ac:dyDescent="0.25">
      <c r="A6" s="174">
        <v>33423</v>
      </c>
      <c r="B6" s="215" t="s">
        <v>334</v>
      </c>
      <c r="C6" s="216" t="s">
        <v>3215</v>
      </c>
      <c r="D6" s="177"/>
      <c r="E6" s="175"/>
      <c r="F6" s="175"/>
      <c r="G6" s="175"/>
      <c r="H6" s="175"/>
      <c r="I6" s="176"/>
      <c r="J6" s="178"/>
      <c r="K6" s="179">
        <f t="shared" si="0"/>
        <v>0</v>
      </c>
      <c r="L6" s="180"/>
      <c r="M6" s="178"/>
      <c r="N6" s="181"/>
      <c r="O6" s="182"/>
      <c r="P6" s="183"/>
      <c r="Q6" s="184"/>
    </row>
    <row r="7" spans="1:17" x14ac:dyDescent="0.25">
      <c r="A7" s="166"/>
      <c r="B7" s="213"/>
      <c r="C7" s="214"/>
      <c r="D7" s="167"/>
      <c r="E7" s="138"/>
      <c r="F7" s="138"/>
      <c r="G7" s="138"/>
      <c r="H7" s="138"/>
      <c r="I7" s="139"/>
      <c r="J7" s="136"/>
      <c r="K7" s="168">
        <f t="shared" si="0"/>
        <v>0</v>
      </c>
      <c r="L7" s="169">
        <f>+K6+K7</f>
        <v>0</v>
      </c>
      <c r="M7" s="136"/>
      <c r="N7" s="170"/>
      <c r="O7" s="171"/>
      <c r="P7" s="172"/>
      <c r="Q7" s="173"/>
    </row>
    <row r="8" spans="1:17" x14ac:dyDescent="0.25">
      <c r="A8" s="174">
        <v>33789</v>
      </c>
      <c r="B8" s="215" t="s">
        <v>335</v>
      </c>
      <c r="C8" s="216" t="s">
        <v>332</v>
      </c>
      <c r="D8" s="177" t="s">
        <v>3848</v>
      </c>
      <c r="E8" s="175">
        <v>230</v>
      </c>
      <c r="F8" s="175">
        <v>246</v>
      </c>
      <c r="G8" s="175">
        <v>242</v>
      </c>
      <c r="H8" s="175">
        <v>11</v>
      </c>
      <c r="I8" s="176">
        <v>228</v>
      </c>
      <c r="J8" s="178" t="s">
        <v>333</v>
      </c>
      <c r="K8" s="179">
        <f t="shared" si="0"/>
        <v>957</v>
      </c>
      <c r="L8" s="180"/>
      <c r="M8" s="185">
        <v>17</v>
      </c>
      <c r="N8" s="181"/>
      <c r="O8" s="182"/>
      <c r="P8" s="183"/>
      <c r="Q8" s="184"/>
    </row>
    <row r="9" spans="1:17" x14ac:dyDescent="0.25">
      <c r="A9" s="166"/>
      <c r="B9" s="213"/>
      <c r="C9" s="214"/>
      <c r="D9" s="167" t="s">
        <v>3849</v>
      </c>
      <c r="E9" s="138">
        <v>226</v>
      </c>
      <c r="F9" s="138">
        <v>239</v>
      </c>
      <c r="G9" s="138">
        <v>244</v>
      </c>
      <c r="H9" s="138">
        <v>8</v>
      </c>
      <c r="I9" s="139"/>
      <c r="J9" s="136"/>
      <c r="K9" s="168">
        <f t="shared" si="0"/>
        <v>717</v>
      </c>
      <c r="L9" s="169">
        <f>+K8+K9</f>
        <v>1674</v>
      </c>
      <c r="M9" s="136">
        <v>20</v>
      </c>
      <c r="N9" s="170"/>
      <c r="O9" s="171">
        <v>1962</v>
      </c>
      <c r="P9" s="172">
        <v>1627</v>
      </c>
      <c r="Q9" s="173">
        <v>62</v>
      </c>
    </row>
    <row r="10" spans="1:17" x14ac:dyDescent="0.25">
      <c r="A10" s="174">
        <v>34151</v>
      </c>
      <c r="B10" s="215" t="s">
        <v>336</v>
      </c>
      <c r="C10" s="216" t="s">
        <v>3215</v>
      </c>
      <c r="D10" s="177"/>
      <c r="E10" s="175"/>
      <c r="F10" s="175"/>
      <c r="G10" s="175"/>
      <c r="H10" s="175"/>
      <c r="I10" s="176"/>
      <c r="J10" s="178"/>
      <c r="K10" s="179">
        <f t="shared" si="0"/>
        <v>0</v>
      </c>
      <c r="L10" s="180"/>
      <c r="M10" s="178"/>
      <c r="N10" s="181"/>
      <c r="O10" s="182"/>
      <c r="P10" s="183"/>
      <c r="Q10" s="184"/>
    </row>
    <row r="11" spans="1:17" x14ac:dyDescent="0.25">
      <c r="A11" s="166"/>
      <c r="B11" s="213"/>
      <c r="C11" s="214"/>
      <c r="D11" s="167"/>
      <c r="E11" s="138"/>
      <c r="F11" s="138"/>
      <c r="G11" s="138"/>
      <c r="H11" s="138"/>
      <c r="I11" s="139"/>
      <c r="J11" s="136"/>
      <c r="K11" s="168">
        <f t="shared" si="0"/>
        <v>0</v>
      </c>
      <c r="L11" s="169">
        <f>+K10+K11</f>
        <v>0</v>
      </c>
      <c r="M11" s="136"/>
      <c r="N11" s="170"/>
      <c r="O11" s="171"/>
      <c r="P11" s="172"/>
      <c r="Q11" s="173"/>
    </row>
    <row r="12" spans="1:17" x14ac:dyDescent="0.25">
      <c r="A12" s="174">
        <v>34524</v>
      </c>
      <c r="B12" s="215" t="s">
        <v>337</v>
      </c>
      <c r="C12" s="216" t="s">
        <v>338</v>
      </c>
      <c r="D12" s="177" t="s">
        <v>339</v>
      </c>
      <c r="E12" s="175">
        <v>392</v>
      </c>
      <c r="F12" s="175">
        <v>399</v>
      </c>
      <c r="G12" s="175">
        <v>378</v>
      </c>
      <c r="H12" s="175"/>
      <c r="I12" s="176"/>
      <c r="J12" s="178"/>
      <c r="K12" s="179">
        <f t="shared" si="0"/>
        <v>1169</v>
      </c>
      <c r="L12" s="180"/>
      <c r="M12" s="185">
        <v>18</v>
      </c>
      <c r="N12" s="181"/>
      <c r="O12" s="182"/>
      <c r="P12" s="183"/>
      <c r="Q12" s="184"/>
    </row>
    <row r="13" spans="1:17" x14ac:dyDescent="0.25">
      <c r="A13" s="166"/>
      <c r="B13" s="213"/>
      <c r="C13" s="214"/>
      <c r="D13" s="167" t="s">
        <v>340</v>
      </c>
      <c r="E13" s="138">
        <v>390</v>
      </c>
      <c r="F13" s="138">
        <v>397</v>
      </c>
      <c r="G13" s="138">
        <v>388</v>
      </c>
      <c r="H13" s="138"/>
      <c r="I13" s="139"/>
      <c r="J13" s="136"/>
      <c r="K13" s="168">
        <f t="shared" si="0"/>
        <v>1175</v>
      </c>
      <c r="L13" s="169">
        <f>+K12+K13</f>
        <v>2344</v>
      </c>
      <c r="M13" s="136">
        <v>20</v>
      </c>
      <c r="N13" s="170">
        <f>+L13/3000</f>
        <v>0.78100000000000003</v>
      </c>
      <c r="O13" s="171">
        <v>2813</v>
      </c>
      <c r="P13" s="172">
        <v>2207</v>
      </c>
      <c r="Q13" s="173">
        <v>58</v>
      </c>
    </row>
    <row r="14" spans="1:17" x14ac:dyDescent="0.25">
      <c r="A14" s="174">
        <v>34888</v>
      </c>
      <c r="B14" s="215" t="s">
        <v>341</v>
      </c>
      <c r="C14" s="216" t="s">
        <v>332</v>
      </c>
      <c r="D14" s="177" t="s">
        <v>342</v>
      </c>
      <c r="E14" s="175">
        <v>353</v>
      </c>
      <c r="F14" s="175">
        <v>359</v>
      </c>
      <c r="G14" s="175">
        <v>377</v>
      </c>
      <c r="H14" s="175"/>
      <c r="I14" s="176"/>
      <c r="J14" s="178"/>
      <c r="K14" s="179">
        <f t="shared" si="0"/>
        <v>1089</v>
      </c>
      <c r="L14" s="180"/>
      <c r="M14" s="185">
        <v>19</v>
      </c>
      <c r="N14" s="181"/>
      <c r="O14" s="182"/>
      <c r="P14" s="183"/>
      <c r="Q14" s="184"/>
    </row>
    <row r="15" spans="1:17" x14ac:dyDescent="0.25">
      <c r="A15" s="166"/>
      <c r="B15" s="213"/>
      <c r="C15" s="214"/>
      <c r="D15" s="167" t="s">
        <v>343</v>
      </c>
      <c r="E15" s="138">
        <v>359</v>
      </c>
      <c r="F15" s="138">
        <v>369</v>
      </c>
      <c r="G15" s="138">
        <v>378</v>
      </c>
      <c r="H15" s="138"/>
      <c r="I15" s="139"/>
      <c r="J15" s="136"/>
      <c r="K15" s="168">
        <f t="shared" si="0"/>
        <v>1106</v>
      </c>
      <c r="L15" s="169">
        <f>+K14+K15</f>
        <v>2195</v>
      </c>
      <c r="M15" s="136">
        <v>22</v>
      </c>
      <c r="N15" s="170">
        <f>+L15/3000</f>
        <v>0.73199999999999998</v>
      </c>
      <c r="O15" s="171">
        <v>2726</v>
      </c>
      <c r="P15" s="172">
        <v>2089</v>
      </c>
      <c r="Q15" s="173">
        <v>60</v>
      </c>
    </row>
    <row r="16" spans="1:17" x14ac:dyDescent="0.25">
      <c r="A16" s="174">
        <v>35252</v>
      </c>
      <c r="B16" s="215" t="s">
        <v>1988</v>
      </c>
      <c r="C16" s="216" t="s">
        <v>148</v>
      </c>
      <c r="D16" s="177" t="s">
        <v>111</v>
      </c>
      <c r="E16" s="175">
        <v>390</v>
      </c>
      <c r="F16" s="175">
        <v>398</v>
      </c>
      <c r="G16" s="175">
        <v>393</v>
      </c>
      <c r="H16" s="175"/>
      <c r="I16" s="176"/>
      <c r="J16" s="178"/>
      <c r="K16" s="179">
        <f t="shared" si="0"/>
        <v>1181</v>
      </c>
      <c r="L16" s="180"/>
      <c r="M16" s="185">
        <v>18</v>
      </c>
      <c r="N16" s="181"/>
      <c r="O16" s="182"/>
      <c r="P16" s="183"/>
      <c r="Q16" s="184"/>
    </row>
    <row r="17" spans="1:29" x14ac:dyDescent="0.25">
      <c r="A17" s="166"/>
      <c r="B17" s="213"/>
      <c r="C17" s="214"/>
      <c r="D17" s="167" t="s">
        <v>342</v>
      </c>
      <c r="E17" s="138">
        <v>392</v>
      </c>
      <c r="F17" s="138">
        <v>392</v>
      </c>
      <c r="G17" s="138">
        <v>387</v>
      </c>
      <c r="H17" s="138"/>
      <c r="I17" s="139"/>
      <c r="J17" s="136"/>
      <c r="K17" s="168">
        <f t="shared" si="0"/>
        <v>1171</v>
      </c>
      <c r="L17" s="169">
        <f>+K16+K17</f>
        <v>2352</v>
      </c>
      <c r="M17" s="136">
        <v>22</v>
      </c>
      <c r="N17" s="170">
        <f>+L17/3000</f>
        <v>0.78400000000000003</v>
      </c>
      <c r="O17" s="171">
        <v>2865</v>
      </c>
      <c r="P17" s="172">
        <v>2047</v>
      </c>
      <c r="Q17" s="173">
        <v>67</v>
      </c>
    </row>
    <row r="18" spans="1:29" x14ac:dyDescent="0.25">
      <c r="A18" s="174">
        <v>35614</v>
      </c>
      <c r="B18" s="215" t="s">
        <v>112</v>
      </c>
      <c r="C18" s="216" t="s">
        <v>3215</v>
      </c>
      <c r="D18" s="177"/>
      <c r="E18" s="175"/>
      <c r="F18" s="175"/>
      <c r="G18" s="175"/>
      <c r="H18" s="175"/>
      <c r="I18" s="176"/>
      <c r="J18" s="178"/>
      <c r="K18" s="179">
        <f t="shared" si="0"/>
        <v>0</v>
      </c>
      <c r="L18" s="180"/>
      <c r="M18" s="178"/>
      <c r="N18" s="181"/>
      <c r="O18" s="182"/>
      <c r="P18" s="183"/>
      <c r="Q18" s="184"/>
    </row>
    <row r="19" spans="1:29" x14ac:dyDescent="0.25">
      <c r="A19" s="166"/>
      <c r="B19" s="213"/>
      <c r="C19" s="214"/>
      <c r="D19" s="167"/>
      <c r="E19" s="138"/>
      <c r="F19" s="138"/>
      <c r="G19" s="138"/>
      <c r="H19" s="138"/>
      <c r="I19" s="139"/>
      <c r="J19" s="136"/>
      <c r="K19" s="168">
        <f t="shared" si="0"/>
        <v>0</v>
      </c>
      <c r="L19" s="169">
        <f>+K18+K19</f>
        <v>0</v>
      </c>
      <c r="M19" s="136"/>
      <c r="N19" s="170"/>
      <c r="O19" s="171"/>
      <c r="P19" s="172"/>
      <c r="Q19" s="173"/>
    </row>
    <row r="20" spans="1:29" x14ac:dyDescent="0.25">
      <c r="A20" s="174">
        <v>35979</v>
      </c>
      <c r="B20" s="215" t="s">
        <v>113</v>
      </c>
      <c r="C20" s="216" t="s">
        <v>338</v>
      </c>
      <c r="D20" s="177" t="s">
        <v>114</v>
      </c>
      <c r="E20" s="175">
        <v>348</v>
      </c>
      <c r="F20" s="175">
        <v>383</v>
      </c>
      <c r="G20" s="175">
        <v>362</v>
      </c>
      <c r="H20" s="175"/>
      <c r="I20" s="176"/>
      <c r="J20" s="178"/>
      <c r="K20" s="179">
        <f t="shared" si="0"/>
        <v>1093</v>
      </c>
      <c r="L20" s="180"/>
      <c r="M20" s="185">
        <v>20</v>
      </c>
      <c r="N20" s="181"/>
      <c r="O20" s="182"/>
      <c r="P20" s="183"/>
      <c r="Q20" s="184"/>
    </row>
    <row r="21" spans="1:29" x14ac:dyDescent="0.25">
      <c r="A21" s="166"/>
      <c r="B21" s="213"/>
      <c r="C21" s="214"/>
      <c r="D21" s="167" t="s">
        <v>115</v>
      </c>
      <c r="E21" s="138">
        <v>334</v>
      </c>
      <c r="F21" s="138">
        <v>378</v>
      </c>
      <c r="G21" s="138">
        <v>360</v>
      </c>
      <c r="H21" s="138"/>
      <c r="I21" s="139"/>
      <c r="J21" s="136"/>
      <c r="K21" s="168">
        <f t="shared" si="0"/>
        <v>1072</v>
      </c>
      <c r="L21" s="169">
        <f>+K20+K21</f>
        <v>2165</v>
      </c>
      <c r="M21" s="136">
        <v>21</v>
      </c>
      <c r="N21" s="170">
        <v>0.72199999999999998</v>
      </c>
      <c r="O21" s="171">
        <v>2793</v>
      </c>
      <c r="P21" s="172">
        <v>2136</v>
      </c>
      <c r="Q21" s="173">
        <v>59</v>
      </c>
    </row>
    <row r="22" spans="1:29" x14ac:dyDescent="0.25">
      <c r="A22" s="82">
        <v>36344</v>
      </c>
      <c r="B22" s="217" t="s">
        <v>116</v>
      </c>
      <c r="C22" s="218" t="s">
        <v>117</v>
      </c>
      <c r="D22" s="85" t="s">
        <v>118</v>
      </c>
      <c r="E22" s="83">
        <v>364</v>
      </c>
      <c r="F22" s="83">
        <v>373</v>
      </c>
      <c r="G22" s="83">
        <v>371</v>
      </c>
      <c r="H22" s="83"/>
      <c r="I22" s="84"/>
      <c r="J22" s="86"/>
      <c r="K22" s="87">
        <f t="shared" si="0"/>
        <v>1108</v>
      </c>
      <c r="L22" s="88"/>
      <c r="M22" s="93">
        <v>21</v>
      </c>
      <c r="N22" s="89"/>
      <c r="O22" s="90"/>
      <c r="P22" s="91"/>
      <c r="Q22" s="92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1:29" x14ac:dyDescent="0.25">
      <c r="A23" s="74"/>
      <c r="B23" s="219"/>
      <c r="C23" s="220"/>
      <c r="D23" s="75" t="s">
        <v>119</v>
      </c>
      <c r="E23" s="47">
        <v>358</v>
      </c>
      <c r="F23" s="47">
        <v>385</v>
      </c>
      <c r="G23" s="47">
        <v>366</v>
      </c>
      <c r="H23" s="47"/>
      <c r="I23" s="48"/>
      <c r="J23" s="45"/>
      <c r="K23" s="76">
        <f t="shared" si="0"/>
        <v>1109</v>
      </c>
      <c r="L23" s="77">
        <f>+K22+K23</f>
        <v>2217</v>
      </c>
      <c r="M23" s="45">
        <v>23</v>
      </c>
      <c r="N23" s="78">
        <v>0.73899999999999999</v>
      </c>
      <c r="O23" s="79">
        <v>2821</v>
      </c>
      <c r="P23" s="80">
        <v>2175</v>
      </c>
      <c r="Q23" s="81">
        <v>56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9" x14ac:dyDescent="0.25">
      <c r="A24" s="82">
        <v>36715</v>
      </c>
      <c r="B24" s="217" t="s">
        <v>120</v>
      </c>
      <c r="C24" s="218" t="s">
        <v>148</v>
      </c>
      <c r="D24" s="85" t="s">
        <v>121</v>
      </c>
      <c r="E24" s="83">
        <v>350</v>
      </c>
      <c r="F24" s="83">
        <v>337</v>
      </c>
      <c r="G24" s="83">
        <v>336</v>
      </c>
      <c r="H24" s="83"/>
      <c r="I24" s="84"/>
      <c r="J24" s="86"/>
      <c r="K24" s="87">
        <f t="shared" si="0"/>
        <v>1023</v>
      </c>
      <c r="L24" s="88"/>
      <c r="M24" s="93">
        <v>21</v>
      </c>
      <c r="N24" s="89"/>
      <c r="O24" s="90"/>
      <c r="P24" s="91"/>
      <c r="Q24" s="92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29" x14ac:dyDescent="0.25">
      <c r="A25" s="74"/>
      <c r="B25" s="219"/>
      <c r="C25" s="220"/>
      <c r="D25" s="75" t="s">
        <v>122</v>
      </c>
      <c r="E25" s="47">
        <v>348</v>
      </c>
      <c r="F25" s="47">
        <v>342</v>
      </c>
      <c r="G25" s="47">
        <v>332</v>
      </c>
      <c r="H25" s="47"/>
      <c r="I25" s="48"/>
      <c r="J25" s="45"/>
      <c r="K25" s="76">
        <f t="shared" si="0"/>
        <v>1022</v>
      </c>
      <c r="L25" s="77">
        <f>+K24+K25</f>
        <v>2045</v>
      </c>
      <c r="M25" s="45">
        <v>23</v>
      </c>
      <c r="N25" s="78">
        <v>0.68200000000000005</v>
      </c>
      <c r="O25" s="79">
        <v>2866</v>
      </c>
      <c r="P25" s="80">
        <v>1946</v>
      </c>
      <c r="Q25" s="81">
        <v>37</v>
      </c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9" x14ac:dyDescent="0.25">
      <c r="A26" s="82">
        <v>37079</v>
      </c>
      <c r="B26" s="217" t="s">
        <v>123</v>
      </c>
      <c r="C26" s="218" t="s">
        <v>3287</v>
      </c>
      <c r="D26" s="85" t="s">
        <v>124</v>
      </c>
      <c r="E26" s="83">
        <v>393</v>
      </c>
      <c r="F26" s="83">
        <v>388</v>
      </c>
      <c r="G26" s="83">
        <v>397</v>
      </c>
      <c r="H26" s="83"/>
      <c r="I26" s="84"/>
      <c r="J26" s="86"/>
      <c r="K26" s="87">
        <f t="shared" si="0"/>
        <v>1178</v>
      </c>
      <c r="L26" s="88"/>
      <c r="M26" s="93">
        <v>18</v>
      </c>
      <c r="N26" s="89"/>
      <c r="O26" s="90"/>
      <c r="P26" s="91"/>
      <c r="Q26" s="92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1:29" x14ac:dyDescent="0.25">
      <c r="A27" s="74"/>
      <c r="B27" s="219"/>
      <c r="C27" s="220"/>
      <c r="D27" s="75" t="s">
        <v>125</v>
      </c>
      <c r="E27" s="47">
        <v>386</v>
      </c>
      <c r="F27" s="47">
        <v>401</v>
      </c>
      <c r="G27" s="47">
        <v>392</v>
      </c>
      <c r="H27" s="47"/>
      <c r="I27" s="48"/>
      <c r="J27" s="45"/>
      <c r="K27" s="76">
        <f t="shared" si="0"/>
        <v>1179</v>
      </c>
      <c r="L27" s="77">
        <f>+K26+K27</f>
        <v>2357</v>
      </c>
      <c r="M27" s="45">
        <v>21</v>
      </c>
      <c r="N27" s="78">
        <v>0.78600000000000003</v>
      </c>
      <c r="O27" s="79">
        <v>2810</v>
      </c>
      <c r="P27" s="80">
        <v>2208</v>
      </c>
      <c r="Q27" s="81">
        <v>35</v>
      </c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1:29" x14ac:dyDescent="0.25">
      <c r="A28" s="82">
        <v>37440</v>
      </c>
      <c r="B28" s="217" t="s">
        <v>126</v>
      </c>
      <c r="C28" s="218" t="s">
        <v>3215</v>
      </c>
      <c r="D28" s="85"/>
      <c r="E28" s="83"/>
      <c r="F28" s="83"/>
      <c r="G28" s="83"/>
      <c r="H28" s="83"/>
      <c r="I28" s="84"/>
      <c r="J28" s="86"/>
      <c r="K28" s="87">
        <f t="shared" si="0"/>
        <v>0</v>
      </c>
      <c r="L28" s="88"/>
      <c r="M28" s="86"/>
      <c r="N28" s="89"/>
      <c r="O28" s="90"/>
      <c r="P28" s="91"/>
      <c r="Q28" s="92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1:29" x14ac:dyDescent="0.25">
      <c r="A29" s="74"/>
      <c r="B29" s="219"/>
      <c r="C29" s="220"/>
      <c r="D29" s="75"/>
      <c r="E29" s="47"/>
      <c r="F29" s="47"/>
      <c r="G29" s="47"/>
      <c r="H29" s="47"/>
      <c r="I29" s="48"/>
      <c r="J29" s="45"/>
      <c r="K29" s="76">
        <f t="shared" si="0"/>
        <v>0</v>
      </c>
      <c r="L29" s="77">
        <f>+K28+K29</f>
        <v>0</v>
      </c>
      <c r="M29" s="45"/>
      <c r="N29" s="78"/>
      <c r="O29" s="79"/>
      <c r="P29" s="80"/>
      <c r="Q29" s="81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1:29" ht="15.6" x14ac:dyDescent="0.3">
      <c r="A30" s="82">
        <v>37807</v>
      </c>
      <c r="B30" s="217" t="s">
        <v>127</v>
      </c>
      <c r="C30" s="491" t="s">
        <v>3287</v>
      </c>
      <c r="D30" s="85" t="s">
        <v>128</v>
      </c>
      <c r="E30" s="83">
        <v>415</v>
      </c>
      <c r="F30" s="83">
        <v>417</v>
      </c>
      <c r="G30" s="83">
        <v>405</v>
      </c>
      <c r="H30" s="83"/>
      <c r="I30" s="84"/>
      <c r="J30" s="86"/>
      <c r="K30" s="87">
        <f t="shared" si="0"/>
        <v>1237</v>
      </c>
      <c r="L30" s="88"/>
      <c r="M30" s="93">
        <v>11</v>
      </c>
      <c r="N30" s="89"/>
      <c r="O30" s="90"/>
      <c r="P30" s="91"/>
      <c r="Q30" s="92"/>
      <c r="R30" s="428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1:29" x14ac:dyDescent="0.25">
      <c r="A31" s="74"/>
      <c r="B31" s="219"/>
      <c r="C31" s="220"/>
      <c r="D31" s="75" t="s">
        <v>129</v>
      </c>
      <c r="E31" s="47">
        <v>414</v>
      </c>
      <c r="F31" s="47">
        <v>446</v>
      </c>
      <c r="G31" s="47">
        <v>411</v>
      </c>
      <c r="H31" s="47"/>
      <c r="I31" s="48"/>
      <c r="J31" s="45"/>
      <c r="K31" s="76">
        <f t="shared" si="0"/>
        <v>1271</v>
      </c>
      <c r="L31" s="77">
        <f>+K30+K31</f>
        <v>2508</v>
      </c>
      <c r="M31" s="45">
        <v>21</v>
      </c>
      <c r="N31" s="78">
        <v>0.83599999999999997</v>
      </c>
      <c r="O31" s="79">
        <v>2838</v>
      </c>
      <c r="P31" s="80">
        <v>2241</v>
      </c>
      <c r="Q31" s="81">
        <v>51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1:29" x14ac:dyDescent="0.25">
      <c r="A32" s="82">
        <v>38171</v>
      </c>
      <c r="B32" s="217" t="s">
        <v>334</v>
      </c>
      <c r="C32" s="218" t="s">
        <v>338</v>
      </c>
      <c r="D32" s="85" t="s">
        <v>3018</v>
      </c>
      <c r="E32" s="83">
        <v>382</v>
      </c>
      <c r="F32" s="83">
        <v>391</v>
      </c>
      <c r="G32" s="83">
        <v>382</v>
      </c>
      <c r="H32" s="83"/>
      <c r="I32" s="84"/>
      <c r="J32" s="86"/>
      <c r="K32" s="87">
        <f t="shared" si="0"/>
        <v>1155</v>
      </c>
      <c r="L32" s="88"/>
      <c r="M32" s="93">
        <v>18</v>
      </c>
      <c r="N32" s="89"/>
      <c r="O32" s="90"/>
      <c r="P32" s="91"/>
      <c r="Q32" s="92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1:29" x14ac:dyDescent="0.25">
      <c r="A33" s="74"/>
      <c r="B33" s="219"/>
      <c r="C33" s="220"/>
      <c r="D33" s="75" t="s">
        <v>3019</v>
      </c>
      <c r="E33" s="47">
        <v>367</v>
      </c>
      <c r="F33" s="47">
        <v>381</v>
      </c>
      <c r="G33" s="47">
        <v>378</v>
      </c>
      <c r="H33" s="47"/>
      <c r="I33" s="48"/>
      <c r="J33" s="45"/>
      <c r="K33" s="76">
        <f t="shared" si="0"/>
        <v>1126</v>
      </c>
      <c r="L33" s="77">
        <f>+K32+K33</f>
        <v>2281</v>
      </c>
      <c r="M33" s="45">
        <v>22</v>
      </c>
      <c r="N33" s="78">
        <v>0.76</v>
      </c>
      <c r="O33" s="79">
        <v>2780</v>
      </c>
      <c r="P33" s="80">
        <v>1992</v>
      </c>
      <c r="Q33" s="81">
        <v>49</v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1:29" x14ac:dyDescent="0.25">
      <c r="A34" s="82">
        <v>38539</v>
      </c>
      <c r="B34" s="217" t="s">
        <v>1988</v>
      </c>
      <c r="C34" s="218" t="s">
        <v>3215</v>
      </c>
      <c r="D34" s="85"/>
      <c r="E34" s="83"/>
      <c r="F34" s="83"/>
      <c r="G34" s="83"/>
      <c r="H34" s="83"/>
      <c r="I34" s="84"/>
      <c r="J34" s="86"/>
      <c r="K34" s="87">
        <f t="shared" si="0"/>
        <v>0</v>
      </c>
      <c r="L34" s="88"/>
      <c r="M34" s="86"/>
      <c r="N34" s="89"/>
      <c r="O34" s="90"/>
      <c r="P34" s="91"/>
      <c r="Q34" s="9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1:29" x14ac:dyDescent="0.25">
      <c r="A35" s="74"/>
      <c r="B35" s="219"/>
      <c r="C35" s="220"/>
      <c r="D35" s="75"/>
      <c r="E35" s="47"/>
      <c r="F35" s="47"/>
      <c r="G35" s="47"/>
      <c r="H35" s="47"/>
      <c r="I35" s="48"/>
      <c r="J35" s="45"/>
      <c r="K35" s="76">
        <f t="shared" si="0"/>
        <v>0</v>
      </c>
      <c r="L35" s="77">
        <f>+K34+K35</f>
        <v>0</v>
      </c>
      <c r="M35" s="45"/>
      <c r="N35" s="78"/>
      <c r="O35" s="79"/>
      <c r="P35" s="80"/>
      <c r="Q35" s="81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1:29" x14ac:dyDescent="0.25">
      <c r="A36" s="82">
        <v>38905</v>
      </c>
      <c r="B36" s="217" t="s">
        <v>112</v>
      </c>
      <c r="C36" s="218" t="s">
        <v>3020</v>
      </c>
      <c r="D36" s="85" t="s">
        <v>3021</v>
      </c>
      <c r="E36" s="83">
        <v>368</v>
      </c>
      <c r="F36" s="83">
        <v>358</v>
      </c>
      <c r="G36" s="83">
        <v>371</v>
      </c>
      <c r="H36" s="83"/>
      <c r="I36" s="84"/>
      <c r="J36" s="86"/>
      <c r="K36" s="87">
        <f t="shared" si="0"/>
        <v>1097</v>
      </c>
      <c r="L36" s="88"/>
      <c r="M36" s="93">
        <v>29</v>
      </c>
      <c r="N36" s="89"/>
      <c r="O36" s="90"/>
      <c r="P36" s="91"/>
      <c r="Q36" s="92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1:29" x14ac:dyDescent="0.25">
      <c r="A37" s="74"/>
      <c r="B37" s="219"/>
      <c r="C37" s="220"/>
      <c r="D37" s="75" t="s">
        <v>3022</v>
      </c>
      <c r="E37" s="47">
        <v>366</v>
      </c>
      <c r="F37" s="47">
        <v>364</v>
      </c>
      <c r="G37" s="47">
        <v>371</v>
      </c>
      <c r="H37" s="47"/>
      <c r="I37" s="48"/>
      <c r="J37" s="45"/>
      <c r="K37" s="76">
        <f t="shared" si="0"/>
        <v>1101</v>
      </c>
      <c r="L37" s="77">
        <f>+K36+K37</f>
        <v>2198</v>
      </c>
      <c r="M37" s="45">
        <v>30</v>
      </c>
      <c r="N37" s="78">
        <v>0.73299999999999998</v>
      </c>
      <c r="O37" s="79">
        <v>2838</v>
      </c>
      <c r="P37" s="80">
        <v>2192</v>
      </c>
      <c r="Q37" s="81">
        <v>33</v>
      </c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</row>
    <row r="38" spans="1:29" ht="15.6" x14ac:dyDescent="0.3">
      <c r="A38" s="43">
        <v>39269</v>
      </c>
      <c r="B38" s="221" t="s">
        <v>3023</v>
      </c>
      <c r="C38" s="492" t="s">
        <v>3287</v>
      </c>
      <c r="D38" s="67" t="s">
        <v>3024</v>
      </c>
      <c r="E38" s="44">
        <v>407</v>
      </c>
      <c r="F38" s="44">
        <v>406</v>
      </c>
      <c r="G38" s="44">
        <v>420</v>
      </c>
      <c r="H38" s="44"/>
      <c r="I38" s="51"/>
      <c r="J38" s="49"/>
      <c r="K38" s="68">
        <f t="shared" si="0"/>
        <v>1233</v>
      </c>
      <c r="L38" s="69"/>
      <c r="M38" s="70">
        <v>12</v>
      </c>
      <c r="N38" s="52"/>
      <c r="O38" s="71"/>
      <c r="P38" s="54"/>
      <c r="Q38" s="72"/>
      <c r="R38" s="428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1:29" x14ac:dyDescent="0.25">
      <c r="A39" s="74"/>
      <c r="B39" s="219"/>
      <c r="C39" s="220"/>
      <c r="D39" s="75" t="s">
        <v>129</v>
      </c>
      <c r="E39" s="47">
        <v>420</v>
      </c>
      <c r="F39" s="47">
        <v>432</v>
      </c>
      <c r="G39" s="47">
        <v>415</v>
      </c>
      <c r="H39" s="47"/>
      <c r="I39" s="48"/>
      <c r="J39" s="45"/>
      <c r="K39" s="76">
        <f t="shared" si="0"/>
        <v>1267</v>
      </c>
      <c r="L39" s="77">
        <f>+K38+K39</f>
        <v>2500</v>
      </c>
      <c r="M39" s="45">
        <v>31</v>
      </c>
      <c r="N39" s="78">
        <f>+L39/3000</f>
        <v>0.83299999999999996</v>
      </c>
      <c r="O39" s="79">
        <v>2849</v>
      </c>
      <c r="P39" s="80">
        <v>2252</v>
      </c>
      <c r="Q39" s="81">
        <v>57</v>
      </c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1:29" x14ac:dyDescent="0.25">
      <c r="A40" s="43">
        <v>39631</v>
      </c>
      <c r="B40" s="221" t="s">
        <v>3503</v>
      </c>
      <c r="C40" s="222" t="s">
        <v>3215</v>
      </c>
      <c r="D40" s="67"/>
      <c r="E40" s="44"/>
      <c r="F40" s="44"/>
      <c r="G40" s="44"/>
      <c r="H40" s="44"/>
      <c r="I40" s="51"/>
      <c r="J40" s="49"/>
      <c r="K40" s="68">
        <f t="shared" si="0"/>
        <v>0</v>
      </c>
      <c r="L40" s="69"/>
      <c r="M40" s="70"/>
      <c r="N40" s="52"/>
      <c r="O40" s="71"/>
      <c r="P40" s="54"/>
      <c r="Q40" s="72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  <row r="41" spans="1:29" x14ac:dyDescent="0.25">
      <c r="A41" s="74"/>
      <c r="B41" s="219"/>
      <c r="C41" s="220"/>
      <c r="D41" s="75"/>
      <c r="E41" s="47"/>
      <c r="F41" s="47"/>
      <c r="G41" s="47"/>
      <c r="H41" s="47"/>
      <c r="I41" s="48"/>
      <c r="J41" s="45"/>
      <c r="K41" s="76">
        <f t="shared" ref="K41:K57" si="1">SUM(E41:J41)</f>
        <v>0</v>
      </c>
      <c r="L41" s="77">
        <f>+K40+K41</f>
        <v>0</v>
      </c>
      <c r="M41" s="233"/>
      <c r="N41" s="78">
        <f>+L41/3000</f>
        <v>0</v>
      </c>
      <c r="O41" s="79"/>
      <c r="P41" s="80"/>
      <c r="Q41" s="81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</row>
    <row r="42" spans="1:29" x14ac:dyDescent="0.25">
      <c r="A42" s="43">
        <v>39997</v>
      </c>
      <c r="B42" s="221" t="s">
        <v>116</v>
      </c>
      <c r="C42" s="222" t="s">
        <v>318</v>
      </c>
      <c r="D42" s="67" t="s">
        <v>1215</v>
      </c>
      <c r="E42" s="44">
        <v>394</v>
      </c>
      <c r="F42" s="44">
        <v>396</v>
      </c>
      <c r="G42" s="44">
        <v>391</v>
      </c>
      <c r="H42" s="44"/>
      <c r="I42" s="51"/>
      <c r="J42" s="49"/>
      <c r="K42" s="68">
        <f t="shared" si="1"/>
        <v>1181</v>
      </c>
      <c r="L42" s="69"/>
      <c r="M42" s="70">
        <v>23</v>
      </c>
      <c r="N42" s="52"/>
      <c r="O42" s="71"/>
      <c r="P42" s="54"/>
      <c r="Q42" s="72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</row>
    <row r="43" spans="1:29" x14ac:dyDescent="0.25">
      <c r="A43" s="74"/>
      <c r="B43" s="219"/>
      <c r="C43" s="220"/>
      <c r="D43" s="75" t="s">
        <v>353</v>
      </c>
      <c r="E43" s="47">
        <v>386</v>
      </c>
      <c r="F43" s="47">
        <v>394</v>
      </c>
      <c r="G43" s="47">
        <v>385</v>
      </c>
      <c r="H43" s="47"/>
      <c r="I43" s="48"/>
      <c r="J43" s="45"/>
      <c r="K43" s="76">
        <f t="shared" si="1"/>
        <v>1165</v>
      </c>
      <c r="L43" s="77">
        <f>+K42+K43</f>
        <v>2346</v>
      </c>
      <c r="M43" s="233">
        <v>29</v>
      </c>
      <c r="N43" s="78">
        <f>+L43/3000</f>
        <v>0.78200000000000003</v>
      </c>
      <c r="O43" s="79">
        <v>2926</v>
      </c>
      <c r="P43" s="80">
        <v>2211</v>
      </c>
      <c r="Q43" s="81">
        <v>57</v>
      </c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</row>
    <row r="44" spans="1:29" ht="15.6" x14ac:dyDescent="0.3">
      <c r="A44" s="43">
        <v>40361</v>
      </c>
      <c r="B44" s="221" t="s">
        <v>1297</v>
      </c>
      <c r="C44" s="492" t="s">
        <v>1019</v>
      </c>
      <c r="D44" s="67" t="s">
        <v>1298</v>
      </c>
      <c r="E44" s="44">
        <v>432</v>
      </c>
      <c r="F44" s="44">
        <v>407</v>
      </c>
      <c r="G44" s="44">
        <v>423</v>
      </c>
      <c r="H44" s="44"/>
      <c r="I44" s="51"/>
      <c r="J44" s="49"/>
      <c r="K44" s="68">
        <f t="shared" si="1"/>
        <v>1262</v>
      </c>
      <c r="L44" s="69"/>
      <c r="M44" s="70">
        <v>14</v>
      </c>
      <c r="N44" s="52"/>
      <c r="O44" s="71"/>
      <c r="P44" s="54"/>
      <c r="Q44" s="72"/>
      <c r="R44" s="428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</row>
    <row r="45" spans="1:29" ht="13.8" thickBot="1" x14ac:dyDescent="0.3">
      <c r="A45" s="94"/>
      <c r="B45" s="223"/>
      <c r="C45" s="224"/>
      <c r="D45" s="95" t="s">
        <v>1299</v>
      </c>
      <c r="E45" s="55">
        <v>420</v>
      </c>
      <c r="F45" s="55">
        <v>406</v>
      </c>
      <c r="G45" s="55">
        <v>417</v>
      </c>
      <c r="H45" s="55"/>
      <c r="I45" s="62"/>
      <c r="J45" s="60"/>
      <c r="K45" s="96">
        <f t="shared" si="1"/>
        <v>1243</v>
      </c>
      <c r="L45" s="97">
        <f>SUM(K44:K45)</f>
        <v>2505</v>
      </c>
      <c r="M45" s="60">
        <v>27</v>
      </c>
      <c r="N45" s="78">
        <f>+L45/3000</f>
        <v>0.83499999999999996</v>
      </c>
      <c r="O45" s="98">
        <v>2932</v>
      </c>
      <c r="P45" s="65">
        <v>2193</v>
      </c>
      <c r="Q45" s="99">
        <v>56</v>
      </c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</row>
    <row r="46" spans="1:29" x14ac:dyDescent="0.25">
      <c r="A46" s="43">
        <v>40732</v>
      </c>
      <c r="B46" s="221" t="s">
        <v>120</v>
      </c>
      <c r="C46" s="222" t="s">
        <v>318</v>
      </c>
      <c r="D46" s="67" t="s">
        <v>1915</v>
      </c>
      <c r="E46" s="44">
        <v>384</v>
      </c>
      <c r="F46" s="44">
        <v>382</v>
      </c>
      <c r="G46" s="44">
        <v>388</v>
      </c>
      <c r="H46" s="44"/>
      <c r="I46" s="51"/>
      <c r="J46" s="49"/>
      <c r="K46" s="68">
        <f t="shared" ref="K46:K55" si="2">SUM(E46:J46)</f>
        <v>1154</v>
      </c>
      <c r="L46" s="69"/>
      <c r="M46" s="70">
        <v>26</v>
      </c>
      <c r="N46" s="52"/>
      <c r="O46" s="71"/>
      <c r="P46" s="54"/>
      <c r="Q46" s="72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</row>
    <row r="47" spans="1:29" ht="13.8" thickBot="1" x14ac:dyDescent="0.3">
      <c r="A47" s="94"/>
      <c r="B47" s="223"/>
      <c r="C47" s="224"/>
      <c r="D47" s="95" t="s">
        <v>1916</v>
      </c>
      <c r="E47" s="55">
        <v>379</v>
      </c>
      <c r="F47" s="55">
        <v>385</v>
      </c>
      <c r="G47" s="55">
        <v>374</v>
      </c>
      <c r="H47" s="55"/>
      <c r="I47" s="62"/>
      <c r="J47" s="60"/>
      <c r="K47" s="96">
        <f t="shared" si="2"/>
        <v>1138</v>
      </c>
      <c r="L47" s="97">
        <f>SUM(K46:K47)</f>
        <v>2292</v>
      </c>
      <c r="M47" s="60">
        <v>30</v>
      </c>
      <c r="N47" s="78">
        <f>+L47/3000</f>
        <v>0.76400000000000001</v>
      </c>
      <c r="O47" s="98">
        <v>2829</v>
      </c>
      <c r="P47" s="65">
        <v>2171</v>
      </c>
      <c r="Q47" s="99">
        <v>45</v>
      </c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</row>
    <row r="48" spans="1:29" x14ac:dyDescent="0.25">
      <c r="A48" s="43">
        <v>41460</v>
      </c>
      <c r="B48" s="221" t="s">
        <v>3640</v>
      </c>
      <c r="C48" s="222" t="s">
        <v>338</v>
      </c>
      <c r="D48" s="67" t="s">
        <v>3641</v>
      </c>
      <c r="E48" s="44">
        <v>392</v>
      </c>
      <c r="F48" s="44">
        <v>393</v>
      </c>
      <c r="G48" s="44">
        <v>398</v>
      </c>
      <c r="H48" s="44"/>
      <c r="I48" s="51"/>
      <c r="J48" s="49"/>
      <c r="K48" s="68">
        <f t="shared" si="2"/>
        <v>1183</v>
      </c>
      <c r="L48" s="69"/>
      <c r="M48" s="70">
        <v>20</v>
      </c>
      <c r="N48" s="52"/>
      <c r="O48" s="71"/>
      <c r="P48" s="54"/>
      <c r="Q48" s="72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</row>
    <row r="49" spans="1:29" ht="13.8" thickBot="1" x14ac:dyDescent="0.3">
      <c r="A49" s="94"/>
      <c r="B49" s="223"/>
      <c r="C49" s="224"/>
      <c r="D49" s="95" t="s">
        <v>3642</v>
      </c>
      <c r="E49" s="55">
        <v>393</v>
      </c>
      <c r="F49" s="55">
        <v>387</v>
      </c>
      <c r="G49" s="55">
        <v>397</v>
      </c>
      <c r="H49" s="55"/>
      <c r="I49" s="62"/>
      <c r="J49" s="60"/>
      <c r="K49" s="96">
        <f t="shared" si="2"/>
        <v>1177</v>
      </c>
      <c r="L49" s="97">
        <f>SUM(K48:K49)</f>
        <v>2360</v>
      </c>
      <c r="M49" s="60">
        <v>29</v>
      </c>
      <c r="N49" s="63">
        <f>+L49/3000</f>
        <v>0.78700000000000003</v>
      </c>
      <c r="O49" s="98">
        <v>2831</v>
      </c>
      <c r="P49" s="65">
        <v>2236</v>
      </c>
      <c r="Q49" s="99">
        <v>45</v>
      </c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</row>
    <row r="50" spans="1:29" x14ac:dyDescent="0.25">
      <c r="A50" s="43">
        <v>41824</v>
      </c>
      <c r="B50" s="221" t="s">
        <v>1013</v>
      </c>
      <c r="C50" s="222" t="s">
        <v>1019</v>
      </c>
      <c r="D50" s="488" t="s">
        <v>1020</v>
      </c>
      <c r="E50" s="44">
        <v>405</v>
      </c>
      <c r="F50" s="44">
        <v>427</v>
      </c>
      <c r="G50" s="44">
        <v>408</v>
      </c>
      <c r="H50" s="44"/>
      <c r="I50" s="51"/>
      <c r="J50" s="49"/>
      <c r="K50" s="68">
        <f t="shared" si="2"/>
        <v>1240</v>
      </c>
      <c r="L50" s="69"/>
      <c r="M50" s="70">
        <v>22</v>
      </c>
      <c r="N50" s="52"/>
      <c r="O50" s="71"/>
      <c r="P50" s="54"/>
      <c r="Q50" s="72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</row>
    <row r="51" spans="1:29" ht="13.8" thickBot="1" x14ac:dyDescent="0.3">
      <c r="A51" s="94"/>
      <c r="B51" s="223"/>
      <c r="C51" s="224"/>
      <c r="D51" s="485" t="s">
        <v>1021</v>
      </c>
      <c r="E51" s="55">
        <v>412</v>
      </c>
      <c r="F51" s="55">
        <v>409</v>
      </c>
      <c r="G51" s="55">
        <v>414</v>
      </c>
      <c r="H51" s="55"/>
      <c r="I51" s="62"/>
      <c r="J51" s="60"/>
      <c r="K51" s="96">
        <f t="shared" si="2"/>
        <v>1235</v>
      </c>
      <c r="L51" s="97">
        <f>SUM(K50:K51)</f>
        <v>2475</v>
      </c>
      <c r="M51" s="60">
        <v>31</v>
      </c>
      <c r="N51" s="63">
        <f>+L51/3000</f>
        <v>0.82499999999999996</v>
      </c>
      <c r="O51" s="98">
        <v>2903</v>
      </c>
      <c r="P51" s="65">
        <v>2259</v>
      </c>
      <c r="Q51" s="99">
        <v>62</v>
      </c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1:29" x14ac:dyDescent="0.25">
      <c r="A52" s="43">
        <v>42188</v>
      </c>
      <c r="B52" s="221" t="s">
        <v>337</v>
      </c>
      <c r="C52" s="222" t="s">
        <v>332</v>
      </c>
      <c r="D52" s="488" t="s">
        <v>1170</v>
      </c>
      <c r="E52" s="44">
        <v>402</v>
      </c>
      <c r="F52" s="44">
        <v>407</v>
      </c>
      <c r="G52" s="44">
        <v>397</v>
      </c>
      <c r="H52" s="44"/>
      <c r="I52" s="51"/>
      <c r="J52" s="49"/>
      <c r="K52" s="68">
        <f t="shared" si="2"/>
        <v>1206</v>
      </c>
      <c r="L52" s="69"/>
      <c r="M52" s="70">
        <v>19</v>
      </c>
      <c r="N52" s="52"/>
      <c r="O52" s="71"/>
      <c r="P52" s="54"/>
      <c r="Q52" s="72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</row>
    <row r="53" spans="1:29" ht="13.8" thickBot="1" x14ac:dyDescent="0.3">
      <c r="A53" s="94"/>
      <c r="B53" s="223"/>
      <c r="C53" s="224"/>
      <c r="D53" s="485" t="s">
        <v>1171</v>
      </c>
      <c r="E53" s="55">
        <v>405</v>
      </c>
      <c r="F53" s="55">
        <v>420</v>
      </c>
      <c r="G53" s="55">
        <v>401</v>
      </c>
      <c r="H53" s="55"/>
      <c r="I53" s="62"/>
      <c r="J53" s="60"/>
      <c r="K53" s="96">
        <f t="shared" si="2"/>
        <v>1226</v>
      </c>
      <c r="L53" s="97">
        <f>SUM(K52:K53)</f>
        <v>2432</v>
      </c>
      <c r="M53" s="60">
        <v>28</v>
      </c>
      <c r="N53" s="63">
        <f>+L53/3000</f>
        <v>0.81100000000000005</v>
      </c>
      <c r="O53" s="98">
        <v>2924</v>
      </c>
      <c r="P53" s="65">
        <v>2192</v>
      </c>
      <c r="Q53" s="99">
        <v>66</v>
      </c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1:29" x14ac:dyDescent="0.25">
      <c r="A54" s="43">
        <v>42923</v>
      </c>
      <c r="B54" s="221" t="s">
        <v>1013</v>
      </c>
      <c r="C54" s="222" t="s">
        <v>1019</v>
      </c>
      <c r="D54" s="488" t="s">
        <v>4498</v>
      </c>
      <c r="E54" s="44">
        <v>414</v>
      </c>
      <c r="F54" s="44">
        <v>403</v>
      </c>
      <c r="G54" s="44">
        <v>414</v>
      </c>
      <c r="H54" s="44"/>
      <c r="I54" s="51"/>
      <c r="J54" s="49"/>
      <c r="K54" s="68">
        <f t="shared" si="2"/>
        <v>1231</v>
      </c>
      <c r="L54" s="69"/>
      <c r="M54" s="70">
        <v>25</v>
      </c>
      <c r="N54" s="52"/>
      <c r="O54" s="71"/>
      <c r="P54" s="54"/>
      <c r="Q54" s="72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</row>
    <row r="55" spans="1:29" ht="13.8" thickBot="1" x14ac:dyDescent="0.3">
      <c r="A55" s="94"/>
      <c r="B55" s="223"/>
      <c r="C55" s="224"/>
      <c r="D55" s="485" t="s">
        <v>4499</v>
      </c>
      <c r="E55" s="55">
        <v>402</v>
      </c>
      <c r="F55" s="55">
        <v>395</v>
      </c>
      <c r="G55" s="55">
        <v>404</v>
      </c>
      <c r="H55" s="55"/>
      <c r="I55" s="62"/>
      <c r="J55" s="60"/>
      <c r="K55" s="96">
        <f t="shared" si="2"/>
        <v>1201</v>
      </c>
      <c r="L55" s="97">
        <f>SUM(K54:K55)</f>
        <v>2432</v>
      </c>
      <c r="M55" s="60">
        <v>30</v>
      </c>
      <c r="N55" s="63">
        <f>+L55/3000</f>
        <v>0.81100000000000005</v>
      </c>
      <c r="O55" s="98">
        <v>2893</v>
      </c>
      <c r="P55" s="65">
        <v>2200</v>
      </c>
      <c r="Q55" s="99">
        <v>42</v>
      </c>
      <c r="R55" s="73"/>
      <c r="S55" s="73"/>
      <c r="V55" s="73"/>
      <c r="W55" s="73"/>
      <c r="X55" s="73"/>
      <c r="Y55" s="73"/>
      <c r="Z55" s="73"/>
      <c r="AA55" s="73"/>
      <c r="AB55" s="73"/>
      <c r="AC55" s="73"/>
    </row>
    <row r="56" spans="1:29" x14ac:dyDescent="0.25">
      <c r="A56" s="43">
        <v>43287</v>
      </c>
      <c r="B56" s="221" t="s">
        <v>2320</v>
      </c>
      <c r="C56" s="222" t="s">
        <v>318</v>
      </c>
      <c r="D56" s="488" t="s">
        <v>4607</v>
      </c>
      <c r="E56" s="44">
        <v>397</v>
      </c>
      <c r="F56" s="44">
        <v>409</v>
      </c>
      <c r="G56" s="44">
        <v>414</v>
      </c>
      <c r="H56" s="44"/>
      <c r="I56" s="51"/>
      <c r="J56" s="49"/>
      <c r="K56" s="68">
        <f t="shared" si="1"/>
        <v>1220</v>
      </c>
      <c r="L56" s="69"/>
      <c r="M56" s="70">
        <v>23</v>
      </c>
      <c r="N56" s="52"/>
      <c r="O56" s="71"/>
      <c r="P56" s="54"/>
      <c r="Q56" s="72"/>
      <c r="R56" s="73"/>
      <c r="S56" s="73"/>
      <c r="V56" s="73"/>
      <c r="W56" s="73"/>
      <c r="X56" s="73"/>
      <c r="Y56" s="73"/>
      <c r="Z56" s="73"/>
      <c r="AA56" s="73"/>
      <c r="AB56" s="73"/>
      <c r="AC56" s="73"/>
    </row>
    <row r="57" spans="1:29" ht="13.8" thickBot="1" x14ac:dyDescent="0.3">
      <c r="A57" s="94"/>
      <c r="B57" s="223"/>
      <c r="C57" s="224"/>
      <c r="D57" s="485" t="s">
        <v>4608</v>
      </c>
      <c r="E57" s="55">
        <v>371</v>
      </c>
      <c r="F57" s="55">
        <v>413</v>
      </c>
      <c r="G57" s="55">
        <v>406</v>
      </c>
      <c r="H57" s="55"/>
      <c r="I57" s="62"/>
      <c r="J57" s="60"/>
      <c r="K57" s="96">
        <f t="shared" si="1"/>
        <v>1190</v>
      </c>
      <c r="L57" s="97">
        <f>SUM(K56:K57)</f>
        <v>2410</v>
      </c>
      <c r="M57" s="60">
        <v>30</v>
      </c>
      <c r="N57" s="63">
        <f>+L57/3000</f>
        <v>0.80300000000000005</v>
      </c>
      <c r="O57" s="98">
        <v>2913</v>
      </c>
      <c r="P57" s="65">
        <v>2193</v>
      </c>
      <c r="Q57" s="99">
        <v>33</v>
      </c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ht="15.6" x14ac:dyDescent="0.3">
      <c r="A58" s="281" t="s">
        <v>548</v>
      </c>
      <c r="B58" s="225"/>
      <c r="C58" s="225"/>
      <c r="D58" s="489" t="s">
        <v>1018</v>
      </c>
      <c r="E58" s="42"/>
      <c r="F58" s="42"/>
      <c r="G58" s="42"/>
      <c r="H58" s="42"/>
      <c r="I58" s="104" t="s">
        <v>3025</v>
      </c>
      <c r="J58" s="42"/>
      <c r="K58" s="73"/>
      <c r="L58" s="73"/>
      <c r="M58" s="42"/>
      <c r="N58" s="102"/>
      <c r="O58" s="103"/>
      <c r="P58" s="103"/>
      <c r="Q58" s="42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ht="15.6" x14ac:dyDescent="0.3">
      <c r="A59" s="281"/>
      <c r="B59" s="225"/>
      <c r="C59" s="225"/>
      <c r="D59" s="101"/>
      <c r="E59" s="42"/>
      <c r="F59" s="42"/>
      <c r="G59" s="42"/>
      <c r="H59" s="42"/>
      <c r="I59" s="104"/>
      <c r="J59" s="42"/>
      <c r="K59" s="73"/>
      <c r="L59" s="73"/>
      <c r="M59" s="42"/>
      <c r="N59" s="102"/>
      <c r="O59" s="103"/>
      <c r="P59" s="103"/>
      <c r="Q59" s="42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ht="16.2" thickBot="1" x14ac:dyDescent="0.35">
      <c r="A60" s="281"/>
      <c r="B60" s="225"/>
      <c r="C60" s="225"/>
      <c r="D60" s="101"/>
      <c r="E60" s="42"/>
      <c r="F60" s="42"/>
      <c r="G60" s="42"/>
      <c r="H60" s="42"/>
      <c r="I60" s="104"/>
      <c r="J60" s="42"/>
      <c r="K60" s="73"/>
      <c r="L60" s="73"/>
      <c r="M60" s="42"/>
      <c r="N60" s="102"/>
      <c r="O60" s="103"/>
      <c r="P60" s="103"/>
      <c r="Q60" s="42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1" spans="1:29" x14ac:dyDescent="0.25">
      <c r="A61" s="34"/>
      <c r="B61" s="226"/>
      <c r="C61" s="226"/>
      <c r="D61" s="36" t="s">
        <v>2974</v>
      </c>
      <c r="E61" s="37" t="s">
        <v>2975</v>
      </c>
      <c r="F61" s="35" t="s">
        <v>2976</v>
      </c>
      <c r="G61" s="35" t="s">
        <v>2977</v>
      </c>
      <c r="H61" s="35" t="s">
        <v>2978</v>
      </c>
      <c r="I61" s="38" t="s">
        <v>2979</v>
      </c>
      <c r="J61" s="36"/>
      <c r="K61" s="37" t="s">
        <v>2980</v>
      </c>
      <c r="L61" s="38"/>
      <c r="M61" s="36" t="s">
        <v>2981</v>
      </c>
      <c r="N61" s="39"/>
      <c r="O61" s="40" t="s">
        <v>2982</v>
      </c>
      <c r="P61" s="105" t="s">
        <v>2983</v>
      </c>
      <c r="Q61" s="44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</row>
    <row r="62" spans="1:29" x14ac:dyDescent="0.25">
      <c r="A62" s="43" t="s">
        <v>2012</v>
      </c>
      <c r="B62" s="221" t="s">
        <v>2984</v>
      </c>
      <c r="C62" s="227" t="s">
        <v>3026</v>
      </c>
      <c r="D62" s="45"/>
      <c r="E62" s="46"/>
      <c r="F62" s="47"/>
      <c r="G62" s="47"/>
      <c r="H62" s="47"/>
      <c r="I62" s="48" t="s">
        <v>2986</v>
      </c>
      <c r="J62" s="49"/>
      <c r="K62" s="50" t="s">
        <v>2987</v>
      </c>
      <c r="L62" s="51" t="s">
        <v>2987</v>
      </c>
      <c r="M62" s="49"/>
      <c r="N62" s="52" t="s">
        <v>2988</v>
      </c>
      <c r="O62" s="53" t="s">
        <v>2989</v>
      </c>
      <c r="P62" s="106" t="s">
        <v>2989</v>
      </c>
      <c r="Q62" s="44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</row>
    <row r="63" spans="1:29" ht="13.8" thickBot="1" x14ac:dyDescent="0.3">
      <c r="A63" s="94"/>
      <c r="B63" s="223"/>
      <c r="C63" s="223"/>
      <c r="D63" s="56" t="s">
        <v>2991</v>
      </c>
      <c r="E63" s="57" t="s">
        <v>2992</v>
      </c>
      <c r="F63" s="58" t="s">
        <v>329</v>
      </c>
      <c r="G63" s="58" t="s">
        <v>330</v>
      </c>
      <c r="H63" s="58"/>
      <c r="I63" s="59"/>
      <c r="J63" s="60"/>
      <c r="K63" s="61"/>
      <c r="L63" s="62"/>
      <c r="M63" s="60"/>
      <c r="N63" s="63"/>
      <c r="O63" s="64" t="s">
        <v>3027</v>
      </c>
      <c r="P63" s="107"/>
      <c r="Q63" s="44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</row>
    <row r="64" spans="1:29" x14ac:dyDescent="0.25">
      <c r="A64" s="34">
        <v>31597</v>
      </c>
      <c r="B64" s="226" t="s">
        <v>1988</v>
      </c>
      <c r="C64" s="228" t="s">
        <v>4176</v>
      </c>
      <c r="D64" s="108"/>
      <c r="E64" s="35">
        <v>194</v>
      </c>
      <c r="F64" s="35">
        <v>208</v>
      </c>
      <c r="G64" s="35">
        <v>158</v>
      </c>
      <c r="H64" s="35">
        <v>-6</v>
      </c>
      <c r="I64" s="38">
        <v>50</v>
      </c>
      <c r="J64" s="36" t="s">
        <v>333</v>
      </c>
      <c r="K64" s="109">
        <f t="shared" ref="K64:K127" si="3">SUM(E64:J64)</f>
        <v>604</v>
      </c>
      <c r="L64" s="110"/>
      <c r="M64" s="111">
        <v>48</v>
      </c>
      <c r="N64" s="39"/>
      <c r="O64" s="112"/>
      <c r="P64" s="105"/>
      <c r="Q64" s="44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</row>
    <row r="65" spans="1:29" x14ac:dyDescent="0.25">
      <c r="A65" s="43"/>
      <c r="B65" s="221"/>
      <c r="C65" s="222"/>
      <c r="D65" s="67"/>
      <c r="E65" s="44">
        <v>194</v>
      </c>
      <c r="F65" s="44">
        <v>220</v>
      </c>
      <c r="G65" s="44">
        <v>156</v>
      </c>
      <c r="H65" s="44">
        <v>-3</v>
      </c>
      <c r="I65" s="51"/>
      <c r="J65" s="49"/>
      <c r="K65" s="68">
        <f t="shared" si="3"/>
        <v>567</v>
      </c>
      <c r="L65" s="69">
        <f>+K64+K65</f>
        <v>1171</v>
      </c>
      <c r="M65" s="49">
        <v>50</v>
      </c>
      <c r="N65" s="52"/>
      <c r="O65" s="71">
        <f>4760/3</f>
        <v>1587</v>
      </c>
      <c r="P65" s="106">
        <v>1008</v>
      </c>
      <c r="Q65" s="44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</row>
    <row r="66" spans="1:29" x14ac:dyDescent="0.25">
      <c r="A66" s="82">
        <v>31962</v>
      </c>
      <c r="B66" s="217" t="s">
        <v>2254</v>
      </c>
      <c r="C66" s="218" t="s">
        <v>4040</v>
      </c>
      <c r="D66" s="85"/>
      <c r="E66" s="83">
        <v>203</v>
      </c>
      <c r="F66" s="83">
        <v>206</v>
      </c>
      <c r="G66" s="83">
        <v>179</v>
      </c>
      <c r="H66" s="83">
        <v>2</v>
      </c>
      <c r="I66" s="84">
        <v>71</v>
      </c>
      <c r="J66" s="86" t="s">
        <v>333</v>
      </c>
      <c r="K66" s="87">
        <f t="shared" si="3"/>
        <v>661</v>
      </c>
      <c r="L66" s="88"/>
      <c r="M66" s="93">
        <v>42</v>
      </c>
      <c r="N66" s="89"/>
      <c r="O66" s="90"/>
      <c r="P66" s="113"/>
      <c r="Q66" s="44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</row>
    <row r="67" spans="1:29" x14ac:dyDescent="0.25">
      <c r="A67" s="74"/>
      <c r="B67" s="219"/>
      <c r="C67" s="220"/>
      <c r="D67" s="75"/>
      <c r="E67" s="47">
        <v>198</v>
      </c>
      <c r="F67" s="47">
        <v>212</v>
      </c>
      <c r="G67" s="47">
        <v>180</v>
      </c>
      <c r="H67" s="47">
        <v>-2</v>
      </c>
      <c r="I67" s="48"/>
      <c r="J67" s="45"/>
      <c r="K67" s="76">
        <f t="shared" si="3"/>
        <v>588</v>
      </c>
      <c r="L67" s="77">
        <f>+K66+K67</f>
        <v>1249</v>
      </c>
      <c r="M67" s="45">
        <v>49</v>
      </c>
      <c r="N67" s="78"/>
      <c r="O67" s="79">
        <f>4667/3</f>
        <v>1556</v>
      </c>
      <c r="P67" s="114">
        <v>1168</v>
      </c>
      <c r="Q67" s="44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</row>
    <row r="68" spans="1:29" x14ac:dyDescent="0.25">
      <c r="A68" s="82">
        <v>32331</v>
      </c>
      <c r="B68" s="217" t="s">
        <v>2255</v>
      </c>
      <c r="C68" s="218" t="s">
        <v>4055</v>
      </c>
      <c r="D68" s="85"/>
      <c r="E68" s="83">
        <v>195</v>
      </c>
      <c r="F68" s="83">
        <v>203</v>
      </c>
      <c r="G68" s="83">
        <v>183</v>
      </c>
      <c r="H68" s="83">
        <v>-11</v>
      </c>
      <c r="I68" s="84">
        <v>69</v>
      </c>
      <c r="J68" s="86" t="s">
        <v>333</v>
      </c>
      <c r="K68" s="87">
        <f t="shared" si="3"/>
        <v>639</v>
      </c>
      <c r="L68" s="88"/>
      <c r="M68" s="93">
        <v>49</v>
      </c>
      <c r="N68" s="89"/>
      <c r="O68" s="90"/>
      <c r="P68" s="113"/>
      <c r="Q68" s="44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x14ac:dyDescent="0.25">
      <c r="A69" s="74"/>
      <c r="B69" s="219"/>
      <c r="C69" s="220"/>
      <c r="D69" s="75"/>
      <c r="E69" s="47">
        <v>187</v>
      </c>
      <c r="F69" s="47">
        <v>199</v>
      </c>
      <c r="G69" s="47">
        <v>169</v>
      </c>
      <c r="H69" s="47">
        <v>-10</v>
      </c>
      <c r="I69" s="48"/>
      <c r="J69" s="45"/>
      <c r="K69" s="76">
        <f t="shared" si="3"/>
        <v>545</v>
      </c>
      <c r="L69" s="77">
        <f>+K68+K69</f>
        <v>1184</v>
      </c>
      <c r="M69" s="45">
        <v>51</v>
      </c>
      <c r="N69" s="78"/>
      <c r="O69" s="79">
        <f>4688/3</f>
        <v>1563</v>
      </c>
      <c r="P69" s="114">
        <v>1134</v>
      </c>
      <c r="Q69" s="44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x14ac:dyDescent="0.25">
      <c r="A70" s="82">
        <v>32692</v>
      </c>
      <c r="B70" s="217" t="s">
        <v>120</v>
      </c>
      <c r="C70" s="218" t="s">
        <v>33</v>
      </c>
      <c r="D70" s="85"/>
      <c r="E70" s="83">
        <v>213</v>
      </c>
      <c r="F70" s="83">
        <v>221</v>
      </c>
      <c r="G70" s="83">
        <v>197</v>
      </c>
      <c r="H70" s="83">
        <v>-2</v>
      </c>
      <c r="I70" s="84">
        <v>60</v>
      </c>
      <c r="J70" s="86" t="s">
        <v>333</v>
      </c>
      <c r="K70" s="87">
        <f t="shared" si="3"/>
        <v>689</v>
      </c>
      <c r="L70" s="88"/>
      <c r="M70" s="93">
        <v>32</v>
      </c>
      <c r="N70" s="89"/>
      <c r="O70" s="90"/>
      <c r="P70" s="113"/>
      <c r="Q70" s="44"/>
      <c r="R70" s="428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x14ac:dyDescent="0.25">
      <c r="A71" s="43"/>
      <c r="B71" s="221"/>
      <c r="C71" s="222"/>
      <c r="D71" s="67"/>
      <c r="E71" s="44">
        <v>208</v>
      </c>
      <c r="F71" s="44">
        <v>215</v>
      </c>
      <c r="G71" s="44">
        <v>193</v>
      </c>
      <c r="H71" s="44">
        <v>0</v>
      </c>
      <c r="I71" s="51"/>
      <c r="J71" s="49"/>
      <c r="K71" s="68">
        <f t="shared" si="3"/>
        <v>616</v>
      </c>
      <c r="L71" s="69">
        <f>+K70+K71</f>
        <v>1305</v>
      </c>
      <c r="M71" s="49">
        <v>51</v>
      </c>
      <c r="N71" s="52"/>
      <c r="O71" s="71">
        <f>4722/3</f>
        <v>1574</v>
      </c>
      <c r="P71" s="106">
        <v>1157</v>
      </c>
      <c r="Q71" s="44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ht="15.6" x14ac:dyDescent="0.3">
      <c r="A72" s="82">
        <v>33061</v>
      </c>
      <c r="B72" s="217" t="s">
        <v>331</v>
      </c>
      <c r="C72" s="491" t="s">
        <v>38</v>
      </c>
      <c r="D72" s="85"/>
      <c r="E72" s="83">
        <v>476</v>
      </c>
      <c r="F72" s="83">
        <v>454</v>
      </c>
      <c r="G72" s="83">
        <v>433</v>
      </c>
      <c r="H72" s="83">
        <v>1</v>
      </c>
      <c r="I72" s="84"/>
      <c r="J72" s="86" t="s">
        <v>333</v>
      </c>
      <c r="K72" s="87">
        <f t="shared" si="3"/>
        <v>1364</v>
      </c>
      <c r="L72" s="88"/>
      <c r="M72" s="93">
        <v>22</v>
      </c>
      <c r="N72" s="89"/>
      <c r="O72" s="90"/>
      <c r="P72" s="113"/>
      <c r="Q72" s="44"/>
      <c r="R72" s="428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x14ac:dyDescent="0.25">
      <c r="A73" s="74"/>
      <c r="B73" s="219"/>
      <c r="C73" s="220"/>
      <c r="D73" s="75"/>
      <c r="E73" s="47"/>
      <c r="F73" s="47"/>
      <c r="G73" s="47"/>
      <c r="H73" s="47"/>
      <c r="I73" s="48"/>
      <c r="J73" s="45"/>
      <c r="K73" s="76">
        <f t="shared" si="3"/>
        <v>0</v>
      </c>
      <c r="L73" s="77">
        <f>+K72+K73</f>
        <v>1364</v>
      </c>
      <c r="M73" s="45">
        <v>51</v>
      </c>
      <c r="N73" s="78"/>
      <c r="O73" s="79">
        <f>4586/3</f>
        <v>1529</v>
      </c>
      <c r="P73" s="114">
        <v>1194</v>
      </c>
      <c r="Q73" s="44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</row>
    <row r="74" spans="1:29" x14ac:dyDescent="0.25">
      <c r="A74" s="43">
        <v>33423</v>
      </c>
      <c r="B74" s="221" t="s">
        <v>334</v>
      </c>
      <c r="C74" s="222" t="s">
        <v>4074</v>
      </c>
      <c r="D74" s="488" t="s">
        <v>1181</v>
      </c>
      <c r="E74" s="44">
        <v>220</v>
      </c>
      <c r="F74" s="44">
        <v>235</v>
      </c>
      <c r="G74" s="44">
        <v>205</v>
      </c>
      <c r="H74" s="44">
        <v>1</v>
      </c>
      <c r="I74" s="51">
        <v>221</v>
      </c>
      <c r="J74" s="49" t="s">
        <v>333</v>
      </c>
      <c r="K74" s="68">
        <f t="shared" si="3"/>
        <v>882</v>
      </c>
      <c r="L74" s="69"/>
      <c r="M74" s="70">
        <v>36</v>
      </c>
      <c r="N74" s="52"/>
      <c r="O74" s="71"/>
      <c r="P74" s="106"/>
      <c r="Q74" s="44"/>
      <c r="R74" s="428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</row>
    <row r="75" spans="1:29" x14ac:dyDescent="0.25">
      <c r="A75" s="43"/>
      <c r="B75" s="221"/>
      <c r="C75" s="222"/>
      <c r="D75" s="488" t="s">
        <v>1984</v>
      </c>
      <c r="E75" s="44">
        <v>222</v>
      </c>
      <c r="F75" s="44">
        <v>226</v>
      </c>
      <c r="G75" s="44">
        <v>206</v>
      </c>
      <c r="H75" s="44">
        <v>5</v>
      </c>
      <c r="I75" s="51"/>
      <c r="J75" s="49"/>
      <c r="K75" s="68">
        <f t="shared" si="3"/>
        <v>659</v>
      </c>
      <c r="L75" s="69">
        <f>+K74+K75</f>
        <v>1541</v>
      </c>
      <c r="M75" s="49">
        <v>65</v>
      </c>
      <c r="N75" s="52"/>
      <c r="O75" s="71">
        <f>5502/3</f>
        <v>1834</v>
      </c>
      <c r="P75" s="106">
        <v>1330</v>
      </c>
      <c r="Q75" s="44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</row>
    <row r="76" spans="1:29" ht="15.6" x14ac:dyDescent="0.3">
      <c r="A76" s="82">
        <v>33789</v>
      </c>
      <c r="B76" s="217" t="s">
        <v>335</v>
      </c>
      <c r="C76" s="491" t="s">
        <v>38</v>
      </c>
      <c r="D76" s="85"/>
      <c r="E76" s="83">
        <v>234</v>
      </c>
      <c r="F76" s="83">
        <v>225</v>
      </c>
      <c r="G76" s="83">
        <v>230</v>
      </c>
      <c r="H76" s="83">
        <v>1</v>
      </c>
      <c r="I76" s="84">
        <v>238</v>
      </c>
      <c r="J76" s="86" t="s">
        <v>333</v>
      </c>
      <c r="K76" s="115">
        <f t="shared" si="3"/>
        <v>928</v>
      </c>
      <c r="L76" s="88"/>
      <c r="M76" s="93">
        <v>22</v>
      </c>
      <c r="N76" s="89"/>
      <c r="O76" s="90"/>
      <c r="P76" s="113"/>
      <c r="Q76" s="44"/>
      <c r="R76" s="428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</row>
    <row r="77" spans="1:29" x14ac:dyDescent="0.25">
      <c r="A77" s="74"/>
      <c r="B77" s="219"/>
      <c r="C77" s="220"/>
      <c r="D77" s="75"/>
      <c r="E77" s="47">
        <v>242</v>
      </c>
      <c r="F77" s="47">
        <v>226</v>
      </c>
      <c r="G77" s="47">
        <v>228</v>
      </c>
      <c r="H77" s="47">
        <v>6</v>
      </c>
      <c r="I77" s="48"/>
      <c r="J77" s="45"/>
      <c r="K77" s="116">
        <f t="shared" si="3"/>
        <v>702</v>
      </c>
      <c r="L77" s="77">
        <f>+K76+K77</f>
        <v>1630</v>
      </c>
      <c r="M77" s="45">
        <v>52</v>
      </c>
      <c r="N77" s="78"/>
      <c r="O77" s="79">
        <v>1907</v>
      </c>
      <c r="P77" s="114">
        <v>1377</v>
      </c>
      <c r="Q77" s="44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</row>
    <row r="78" spans="1:29" x14ac:dyDescent="0.25">
      <c r="A78" s="82">
        <v>33789</v>
      </c>
      <c r="B78" s="217" t="s">
        <v>335</v>
      </c>
      <c r="C78" s="218" t="s">
        <v>281</v>
      </c>
      <c r="D78" s="85"/>
      <c r="E78" s="83">
        <v>209</v>
      </c>
      <c r="F78" s="83">
        <v>220</v>
      </c>
      <c r="G78" s="83">
        <v>223</v>
      </c>
      <c r="H78" s="83">
        <v>1</v>
      </c>
      <c r="I78" s="84">
        <v>206</v>
      </c>
      <c r="J78" s="86" t="s">
        <v>333</v>
      </c>
      <c r="K78" s="87">
        <f t="shared" si="3"/>
        <v>859</v>
      </c>
      <c r="L78" s="88"/>
      <c r="M78" s="93">
        <v>52</v>
      </c>
      <c r="N78" s="89"/>
      <c r="O78" s="90"/>
      <c r="P78" s="113"/>
      <c r="Q78" s="44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</row>
    <row r="79" spans="1:29" x14ac:dyDescent="0.25">
      <c r="A79" s="74"/>
      <c r="B79" s="219"/>
      <c r="C79" s="220"/>
      <c r="D79" s="75"/>
      <c r="E79" s="47">
        <v>203</v>
      </c>
      <c r="F79" s="47">
        <v>204</v>
      </c>
      <c r="G79" s="47">
        <v>219</v>
      </c>
      <c r="H79" s="47">
        <v>3</v>
      </c>
      <c r="I79" s="48"/>
      <c r="J79" s="45"/>
      <c r="K79" s="76">
        <f t="shared" si="3"/>
        <v>629</v>
      </c>
      <c r="L79" s="77">
        <f>+K78+K79</f>
        <v>1488</v>
      </c>
      <c r="M79" s="45">
        <v>55</v>
      </c>
      <c r="N79" s="78"/>
      <c r="O79" s="79">
        <f>5722/3</f>
        <v>1907</v>
      </c>
      <c r="P79" s="114">
        <v>1377</v>
      </c>
      <c r="Q79" s="44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</row>
    <row r="80" spans="1:29" x14ac:dyDescent="0.25">
      <c r="A80" s="43">
        <v>34151</v>
      </c>
      <c r="B80" s="221" t="s">
        <v>336</v>
      </c>
      <c r="C80" s="222" t="s">
        <v>147</v>
      </c>
      <c r="D80" s="67"/>
      <c r="E80" s="44">
        <v>223</v>
      </c>
      <c r="F80" s="44">
        <v>225</v>
      </c>
      <c r="G80" s="44">
        <v>226</v>
      </c>
      <c r="H80" s="44">
        <v>5</v>
      </c>
      <c r="I80" s="51">
        <v>222</v>
      </c>
      <c r="J80" s="49" t="s">
        <v>333</v>
      </c>
      <c r="K80" s="117">
        <f t="shared" si="3"/>
        <v>901</v>
      </c>
      <c r="L80" s="69"/>
      <c r="M80" s="70">
        <v>30</v>
      </c>
      <c r="N80" s="52"/>
      <c r="O80" s="71"/>
      <c r="P80" s="106"/>
      <c r="Q80" s="44"/>
      <c r="R80" s="428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</row>
    <row r="81" spans="1:29" x14ac:dyDescent="0.25">
      <c r="A81" s="43"/>
      <c r="B81" s="221"/>
      <c r="C81" s="222"/>
      <c r="D81" s="67"/>
      <c r="E81" s="44">
        <v>221</v>
      </c>
      <c r="F81" s="44">
        <v>216</v>
      </c>
      <c r="G81" s="44">
        <v>228</v>
      </c>
      <c r="H81" s="44">
        <v>5</v>
      </c>
      <c r="I81" s="51"/>
      <c r="J81" s="49"/>
      <c r="K81" s="117">
        <f t="shared" si="3"/>
        <v>670</v>
      </c>
      <c r="L81" s="77">
        <f>+K80+K81</f>
        <v>1571</v>
      </c>
      <c r="M81" s="49">
        <v>53</v>
      </c>
      <c r="N81" s="52"/>
      <c r="O81" s="71">
        <v>1935</v>
      </c>
      <c r="P81" s="106">
        <v>1411</v>
      </c>
      <c r="Q81" s="44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</row>
    <row r="82" spans="1:29" x14ac:dyDescent="0.25">
      <c r="A82" s="82">
        <v>34151</v>
      </c>
      <c r="B82" s="217" t="s">
        <v>336</v>
      </c>
      <c r="C82" s="218" t="s">
        <v>4100</v>
      </c>
      <c r="D82" s="85"/>
      <c r="E82" s="83">
        <v>197</v>
      </c>
      <c r="F82" s="83">
        <v>194</v>
      </c>
      <c r="G82" s="83">
        <v>204</v>
      </c>
      <c r="H82" s="83">
        <v>-10</v>
      </c>
      <c r="I82" s="84">
        <v>204</v>
      </c>
      <c r="J82" s="86" t="s">
        <v>333</v>
      </c>
      <c r="K82" s="87">
        <f t="shared" si="3"/>
        <v>789</v>
      </c>
      <c r="L82" s="88"/>
      <c r="M82" s="93">
        <v>53</v>
      </c>
      <c r="N82" s="89"/>
      <c r="O82" s="90"/>
      <c r="P82" s="113"/>
      <c r="Q82" s="44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</row>
    <row r="83" spans="1:29" x14ac:dyDescent="0.25">
      <c r="A83" s="74"/>
      <c r="B83" s="219"/>
      <c r="C83" s="220"/>
      <c r="D83" s="75"/>
      <c r="E83" s="47">
        <v>210</v>
      </c>
      <c r="F83" s="47">
        <v>210</v>
      </c>
      <c r="G83" s="47">
        <v>208</v>
      </c>
      <c r="H83" s="47">
        <v>-6</v>
      </c>
      <c r="I83" s="48"/>
      <c r="J83" s="45"/>
      <c r="K83" s="76">
        <f t="shared" si="3"/>
        <v>622</v>
      </c>
      <c r="L83" s="77">
        <f>+K82+K83</f>
        <v>1411</v>
      </c>
      <c r="M83" s="45">
        <v>53</v>
      </c>
      <c r="N83" s="78"/>
      <c r="O83" s="79">
        <f>5804/3</f>
        <v>1935</v>
      </c>
      <c r="P83" s="114">
        <v>1411</v>
      </c>
      <c r="Q83" s="44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</row>
    <row r="84" spans="1:29" x14ac:dyDescent="0.25">
      <c r="A84" s="43">
        <v>34524</v>
      </c>
      <c r="B84" s="221" t="s">
        <v>337</v>
      </c>
      <c r="C84" s="222" t="s">
        <v>138</v>
      </c>
      <c r="D84" s="67" t="s">
        <v>2256</v>
      </c>
      <c r="E84" s="44">
        <v>360</v>
      </c>
      <c r="F84" s="44">
        <v>357</v>
      </c>
      <c r="G84" s="44">
        <v>362</v>
      </c>
      <c r="H84" s="44"/>
      <c r="I84" s="51"/>
      <c r="J84" s="49"/>
      <c r="K84" s="117">
        <f t="shared" si="3"/>
        <v>1079</v>
      </c>
      <c r="L84" s="69"/>
      <c r="M84" s="70">
        <v>41</v>
      </c>
      <c r="N84" s="52"/>
      <c r="O84" s="71"/>
      <c r="P84" s="106"/>
      <c r="Q84" s="44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</row>
    <row r="85" spans="1:29" x14ac:dyDescent="0.25">
      <c r="A85" s="74"/>
      <c r="B85" s="219"/>
      <c r="C85" s="220"/>
      <c r="D85" s="75" t="s">
        <v>2257</v>
      </c>
      <c r="E85" s="47">
        <v>357</v>
      </c>
      <c r="F85" s="47">
        <v>354</v>
      </c>
      <c r="G85" s="47">
        <v>349</v>
      </c>
      <c r="H85" s="47"/>
      <c r="I85" s="48"/>
      <c r="J85" s="45"/>
      <c r="K85" s="116">
        <f t="shared" si="3"/>
        <v>1060</v>
      </c>
      <c r="L85" s="77">
        <f>+K84+K85</f>
        <v>2139</v>
      </c>
      <c r="M85" s="45">
        <v>53</v>
      </c>
      <c r="N85" s="78">
        <f>+L85/3000</f>
        <v>0.71299999999999997</v>
      </c>
      <c r="O85" s="79">
        <v>2654</v>
      </c>
      <c r="P85" s="114">
        <v>1928</v>
      </c>
      <c r="Q85" s="44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</row>
    <row r="86" spans="1:29" x14ac:dyDescent="0.25">
      <c r="A86" s="43">
        <v>34524</v>
      </c>
      <c r="B86" s="221" t="s">
        <v>337</v>
      </c>
      <c r="C86" s="222" t="s">
        <v>147</v>
      </c>
      <c r="D86" s="67" t="s">
        <v>2258</v>
      </c>
      <c r="E86" s="44">
        <v>340</v>
      </c>
      <c r="F86" s="44">
        <v>322</v>
      </c>
      <c r="G86" s="44">
        <v>344</v>
      </c>
      <c r="H86" s="44"/>
      <c r="I86" s="51"/>
      <c r="J86" s="49"/>
      <c r="K86" s="68">
        <f t="shared" si="3"/>
        <v>1006</v>
      </c>
      <c r="L86" s="69"/>
      <c r="M86" s="70">
        <v>52</v>
      </c>
      <c r="N86" s="52"/>
      <c r="O86" s="71"/>
      <c r="P86" s="106"/>
      <c r="Q86" s="44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</row>
    <row r="87" spans="1:29" x14ac:dyDescent="0.25">
      <c r="A87" s="43"/>
      <c r="B87" s="221"/>
      <c r="C87" s="222"/>
      <c r="D87" s="67" t="s">
        <v>2259</v>
      </c>
      <c r="E87" s="44">
        <v>332</v>
      </c>
      <c r="F87" s="44">
        <v>319</v>
      </c>
      <c r="G87" s="44">
        <v>329</v>
      </c>
      <c r="H87" s="44"/>
      <c r="I87" s="51"/>
      <c r="J87" s="49"/>
      <c r="K87" s="68">
        <f t="shared" si="3"/>
        <v>980</v>
      </c>
      <c r="L87" s="69">
        <f>+K86+K87</f>
        <v>1986</v>
      </c>
      <c r="M87" s="49">
        <v>53</v>
      </c>
      <c r="N87" s="52">
        <f>+L87/3000</f>
        <v>0.66200000000000003</v>
      </c>
      <c r="O87" s="71">
        <f>7963/3</f>
        <v>2654</v>
      </c>
      <c r="P87" s="106">
        <v>1928</v>
      </c>
      <c r="Q87" s="44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</row>
    <row r="88" spans="1:29" ht="15.6" x14ac:dyDescent="0.3">
      <c r="A88" s="82">
        <v>34888</v>
      </c>
      <c r="B88" s="217" t="s">
        <v>341</v>
      </c>
      <c r="C88" s="491" t="s">
        <v>156</v>
      </c>
      <c r="D88" s="85" t="s">
        <v>3401</v>
      </c>
      <c r="E88" s="83">
        <v>385</v>
      </c>
      <c r="F88" s="83">
        <v>383</v>
      </c>
      <c r="G88" s="83">
        <v>390</v>
      </c>
      <c r="H88" s="83"/>
      <c r="I88" s="84"/>
      <c r="J88" s="86"/>
      <c r="K88" s="87">
        <f t="shared" si="3"/>
        <v>1158</v>
      </c>
      <c r="L88" s="88"/>
      <c r="M88" s="93">
        <v>22</v>
      </c>
      <c r="N88" s="89"/>
      <c r="O88" s="90"/>
      <c r="P88" s="113"/>
      <c r="Q88" s="44"/>
      <c r="R88" s="428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</row>
    <row r="89" spans="1:29" x14ac:dyDescent="0.25">
      <c r="A89" s="74"/>
      <c r="B89" s="219"/>
      <c r="C89" s="220"/>
      <c r="D89" s="75" t="s">
        <v>775</v>
      </c>
      <c r="E89" s="47">
        <v>374</v>
      </c>
      <c r="F89" s="47">
        <v>376</v>
      </c>
      <c r="G89" s="47">
        <v>377</v>
      </c>
      <c r="H89" s="47"/>
      <c r="I89" s="48"/>
      <c r="J89" s="45"/>
      <c r="K89" s="76">
        <f t="shared" si="3"/>
        <v>1127</v>
      </c>
      <c r="L89" s="77">
        <f>+K88+K89</f>
        <v>2285</v>
      </c>
      <c r="M89" s="45">
        <v>56</v>
      </c>
      <c r="N89" s="78">
        <f>+L89/3000</f>
        <v>0.76200000000000001</v>
      </c>
      <c r="O89" s="79">
        <f>8021/3</f>
        <v>2674</v>
      </c>
      <c r="P89" s="114">
        <v>1625</v>
      </c>
      <c r="Q89" s="44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</row>
    <row r="90" spans="1:29" x14ac:dyDescent="0.25">
      <c r="A90" s="43">
        <v>35252</v>
      </c>
      <c r="B90" s="221" t="s">
        <v>1988</v>
      </c>
      <c r="C90" s="222" t="s">
        <v>147</v>
      </c>
      <c r="D90" s="67" t="s">
        <v>776</v>
      </c>
      <c r="E90" s="44">
        <v>371</v>
      </c>
      <c r="F90" s="44">
        <v>374</v>
      </c>
      <c r="G90" s="44">
        <v>375</v>
      </c>
      <c r="H90" s="44"/>
      <c r="I90" s="51"/>
      <c r="J90" s="49"/>
      <c r="K90" s="68">
        <f t="shared" si="3"/>
        <v>1120</v>
      </c>
      <c r="L90" s="69"/>
      <c r="M90" s="70">
        <v>41</v>
      </c>
      <c r="N90" s="52"/>
      <c r="O90" s="71"/>
      <c r="P90" s="106"/>
      <c r="Q90" s="44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</row>
    <row r="91" spans="1:29" x14ac:dyDescent="0.25">
      <c r="A91" s="74"/>
      <c r="B91" s="219"/>
      <c r="C91" s="220"/>
      <c r="D91" s="75" t="s">
        <v>777</v>
      </c>
      <c r="E91" s="47">
        <v>376</v>
      </c>
      <c r="F91" s="47">
        <v>380</v>
      </c>
      <c r="G91" s="47">
        <v>374</v>
      </c>
      <c r="H91" s="47"/>
      <c r="I91" s="48"/>
      <c r="J91" s="45"/>
      <c r="K91" s="76">
        <f t="shared" si="3"/>
        <v>1130</v>
      </c>
      <c r="L91" s="77">
        <f>+K90+K91</f>
        <v>2250</v>
      </c>
      <c r="M91" s="45">
        <v>48</v>
      </c>
      <c r="N91" s="78">
        <f>+L91/3000</f>
        <v>0.75</v>
      </c>
      <c r="O91" s="79">
        <f>8236/3</f>
        <v>2745</v>
      </c>
      <c r="P91" s="114">
        <v>1889</v>
      </c>
      <c r="Q91" s="44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</row>
    <row r="92" spans="1:29" x14ac:dyDescent="0.25">
      <c r="A92" s="82">
        <v>35252</v>
      </c>
      <c r="B92" s="217" t="s">
        <v>1988</v>
      </c>
      <c r="C92" s="218" t="s">
        <v>1623</v>
      </c>
      <c r="D92" s="85" t="s">
        <v>2283</v>
      </c>
      <c r="E92" s="83">
        <v>356</v>
      </c>
      <c r="F92" s="83">
        <v>352</v>
      </c>
      <c r="G92" s="83">
        <v>344</v>
      </c>
      <c r="H92" s="83"/>
      <c r="I92" s="84"/>
      <c r="J92" s="86"/>
      <c r="K92" s="87">
        <f t="shared" si="3"/>
        <v>1052</v>
      </c>
      <c r="L92" s="88"/>
      <c r="M92" s="93">
        <v>45</v>
      </c>
      <c r="N92" s="89"/>
      <c r="O92" s="90"/>
      <c r="P92" s="113"/>
      <c r="Q92" s="44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</row>
    <row r="93" spans="1:29" x14ac:dyDescent="0.25">
      <c r="A93" s="74"/>
      <c r="B93" s="219"/>
      <c r="C93" s="220"/>
      <c r="D93" s="75" t="s">
        <v>2220</v>
      </c>
      <c r="E93" s="47">
        <v>339</v>
      </c>
      <c r="F93" s="47">
        <v>353</v>
      </c>
      <c r="G93" s="47">
        <v>344</v>
      </c>
      <c r="H93" s="47"/>
      <c r="I93" s="48"/>
      <c r="J93" s="45"/>
      <c r="K93" s="76">
        <f t="shared" si="3"/>
        <v>1036</v>
      </c>
      <c r="L93" s="77">
        <f>+K92+K93</f>
        <v>2088</v>
      </c>
      <c r="M93" s="45">
        <v>48</v>
      </c>
      <c r="N93" s="78">
        <f>+L93/3000</f>
        <v>0.69599999999999995</v>
      </c>
      <c r="O93" s="79">
        <f>8236/3</f>
        <v>2745</v>
      </c>
      <c r="P93" s="114">
        <v>1889</v>
      </c>
      <c r="Q93" s="44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</row>
    <row r="94" spans="1:29" x14ac:dyDescent="0.25">
      <c r="A94" s="43">
        <v>35614</v>
      </c>
      <c r="B94" s="221" t="s">
        <v>112</v>
      </c>
      <c r="C94" s="222" t="s">
        <v>3945</v>
      </c>
      <c r="D94" s="67" t="s">
        <v>2221</v>
      </c>
      <c r="E94" s="44">
        <v>357</v>
      </c>
      <c r="F94" s="44">
        <v>368</v>
      </c>
      <c r="G94" s="44">
        <v>357</v>
      </c>
      <c r="H94" s="44"/>
      <c r="I94" s="51"/>
      <c r="J94" s="49"/>
      <c r="K94" s="68">
        <f t="shared" si="3"/>
        <v>1082</v>
      </c>
      <c r="L94" s="69"/>
      <c r="M94" s="70">
        <v>40</v>
      </c>
      <c r="N94" s="52"/>
      <c r="O94" s="71"/>
      <c r="P94" s="106"/>
      <c r="Q94" s="44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</row>
    <row r="95" spans="1:29" x14ac:dyDescent="0.25">
      <c r="A95" s="43"/>
      <c r="B95" s="221"/>
      <c r="C95" s="222"/>
      <c r="D95" s="67" t="s">
        <v>2222</v>
      </c>
      <c r="E95" s="44">
        <v>363</v>
      </c>
      <c r="F95" s="44">
        <v>373</v>
      </c>
      <c r="G95" s="44">
        <v>363</v>
      </c>
      <c r="H95" s="44"/>
      <c r="I95" s="51"/>
      <c r="J95" s="49"/>
      <c r="K95" s="68">
        <f t="shared" si="3"/>
        <v>1099</v>
      </c>
      <c r="L95" s="69">
        <f>+K94+K95</f>
        <v>2181</v>
      </c>
      <c r="M95" s="49">
        <v>43</v>
      </c>
      <c r="N95" s="52">
        <f>+L95/3000</f>
        <v>0.72699999999999998</v>
      </c>
      <c r="O95" s="71">
        <f>8274/3</f>
        <v>2758</v>
      </c>
      <c r="P95" s="106">
        <v>1991</v>
      </c>
      <c r="Q95" s="44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</row>
    <row r="96" spans="1:29" x14ac:dyDescent="0.25">
      <c r="A96" s="82">
        <v>35978</v>
      </c>
      <c r="B96" s="217" t="s">
        <v>113</v>
      </c>
      <c r="C96" s="218" t="s">
        <v>3286</v>
      </c>
      <c r="D96" s="85" t="s">
        <v>2223</v>
      </c>
      <c r="E96" s="83">
        <v>365</v>
      </c>
      <c r="F96" s="83">
        <v>367</v>
      </c>
      <c r="G96" s="83">
        <v>366</v>
      </c>
      <c r="H96" s="83"/>
      <c r="I96" s="84"/>
      <c r="J96" s="86"/>
      <c r="K96" s="87">
        <f t="shared" si="3"/>
        <v>1098</v>
      </c>
      <c r="L96" s="88"/>
      <c r="M96" s="93">
        <v>48</v>
      </c>
      <c r="N96" s="89"/>
      <c r="O96" s="90"/>
      <c r="P96" s="113"/>
      <c r="Q96" s="44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</row>
    <row r="97" spans="1:29" x14ac:dyDescent="0.25">
      <c r="A97" s="74"/>
      <c r="B97" s="219"/>
      <c r="C97" s="220"/>
      <c r="D97" s="75" t="s">
        <v>777</v>
      </c>
      <c r="E97" s="47">
        <v>356</v>
      </c>
      <c r="F97" s="47">
        <v>367</v>
      </c>
      <c r="G97" s="47">
        <v>372</v>
      </c>
      <c r="H97" s="47"/>
      <c r="I97" s="48"/>
      <c r="J97" s="45"/>
      <c r="K97" s="76">
        <f t="shared" si="3"/>
        <v>1095</v>
      </c>
      <c r="L97" s="77">
        <f>+K96+K97</f>
        <v>2193</v>
      </c>
      <c r="M97" s="45">
        <v>49</v>
      </c>
      <c r="N97" s="78">
        <f>+L97/3000</f>
        <v>0.73099999999999998</v>
      </c>
      <c r="O97" s="79">
        <f>8091/3</f>
        <v>2697</v>
      </c>
      <c r="P97" s="114">
        <v>2153</v>
      </c>
      <c r="Q97" s="44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</row>
    <row r="98" spans="1:29" x14ac:dyDescent="0.25">
      <c r="A98" s="43">
        <v>36344</v>
      </c>
      <c r="B98" s="221" t="s">
        <v>116</v>
      </c>
      <c r="C98" s="222" t="s">
        <v>163</v>
      </c>
      <c r="D98" s="67" t="s">
        <v>2224</v>
      </c>
      <c r="E98" s="44">
        <v>355</v>
      </c>
      <c r="F98" s="44">
        <v>370</v>
      </c>
      <c r="G98" s="44">
        <v>360</v>
      </c>
      <c r="H98" s="44"/>
      <c r="I98" s="51"/>
      <c r="J98" s="49"/>
      <c r="K98" s="68">
        <f t="shared" si="3"/>
        <v>1085</v>
      </c>
      <c r="L98" s="69"/>
      <c r="M98" s="70">
        <v>43</v>
      </c>
      <c r="N98" s="52"/>
      <c r="O98" s="71"/>
      <c r="P98" s="106"/>
      <c r="Q98" s="44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</row>
    <row r="99" spans="1:29" x14ac:dyDescent="0.25">
      <c r="A99" s="43"/>
      <c r="B99" s="221"/>
      <c r="C99" s="222"/>
      <c r="D99" s="67" t="s">
        <v>343</v>
      </c>
      <c r="E99" s="44">
        <v>337</v>
      </c>
      <c r="F99" s="44">
        <v>354</v>
      </c>
      <c r="G99" s="44">
        <v>351</v>
      </c>
      <c r="H99" s="44"/>
      <c r="I99" s="51"/>
      <c r="J99" s="49"/>
      <c r="K99" s="68">
        <f t="shared" si="3"/>
        <v>1042</v>
      </c>
      <c r="L99" s="69">
        <f>+K98+K99</f>
        <v>2127</v>
      </c>
      <c r="M99" s="49">
        <v>43</v>
      </c>
      <c r="N99" s="52">
        <f>+L99/3000</f>
        <v>0.70899999999999996</v>
      </c>
      <c r="O99" s="71">
        <f>8061/3</f>
        <v>2687</v>
      </c>
      <c r="P99" s="106">
        <v>2127</v>
      </c>
      <c r="Q99" s="44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</row>
    <row r="100" spans="1:29" x14ac:dyDescent="0.25">
      <c r="A100" s="82">
        <v>36712</v>
      </c>
      <c r="B100" s="217" t="s">
        <v>120</v>
      </c>
      <c r="C100" s="218" t="s">
        <v>281</v>
      </c>
      <c r="D100" s="85" t="s">
        <v>2225</v>
      </c>
      <c r="E100" s="83">
        <v>331</v>
      </c>
      <c r="F100" s="83">
        <v>339</v>
      </c>
      <c r="G100" s="83">
        <v>312</v>
      </c>
      <c r="H100" s="83"/>
      <c r="I100" s="84"/>
      <c r="J100" s="86"/>
      <c r="K100" s="87">
        <f t="shared" si="3"/>
        <v>982</v>
      </c>
      <c r="L100" s="88"/>
      <c r="M100" s="93">
        <v>44</v>
      </c>
      <c r="N100" s="89"/>
      <c r="O100" s="90"/>
      <c r="P100" s="113"/>
      <c r="Q100" s="44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</row>
    <row r="101" spans="1:29" x14ac:dyDescent="0.25">
      <c r="A101" s="74"/>
      <c r="B101" s="219"/>
      <c r="C101" s="220"/>
      <c r="D101" s="75" t="s">
        <v>2226</v>
      </c>
      <c r="E101" s="47">
        <v>334</v>
      </c>
      <c r="F101" s="47">
        <v>342</v>
      </c>
      <c r="G101" s="47">
        <v>326</v>
      </c>
      <c r="H101" s="47"/>
      <c r="I101" s="48"/>
      <c r="J101" s="45"/>
      <c r="K101" s="76">
        <f t="shared" si="3"/>
        <v>1002</v>
      </c>
      <c r="L101" s="77">
        <f>+K100+K101</f>
        <v>1984</v>
      </c>
      <c r="M101" s="45">
        <v>44</v>
      </c>
      <c r="N101" s="78">
        <f>+L101/3000</f>
        <v>0.66100000000000003</v>
      </c>
      <c r="O101" s="79">
        <f>8453/3</f>
        <v>2818</v>
      </c>
      <c r="P101" s="114">
        <v>1984</v>
      </c>
      <c r="Q101" s="44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</row>
    <row r="102" spans="1:29" x14ac:dyDescent="0.25">
      <c r="A102" s="43">
        <v>37079</v>
      </c>
      <c r="B102" s="221" t="s">
        <v>123</v>
      </c>
      <c r="C102" s="222" t="s">
        <v>1635</v>
      </c>
      <c r="D102" s="67" t="s">
        <v>2227</v>
      </c>
      <c r="E102" s="44">
        <v>358</v>
      </c>
      <c r="F102" s="44">
        <v>357</v>
      </c>
      <c r="G102" s="44">
        <v>346</v>
      </c>
      <c r="H102" s="44"/>
      <c r="I102" s="51"/>
      <c r="J102" s="49"/>
      <c r="K102" s="68">
        <f t="shared" si="3"/>
        <v>1061</v>
      </c>
      <c r="L102" s="69"/>
      <c r="M102" s="70">
        <v>50</v>
      </c>
      <c r="N102" s="52"/>
      <c r="O102" s="71"/>
      <c r="P102" s="106"/>
      <c r="Q102" s="44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</row>
    <row r="103" spans="1:29" x14ac:dyDescent="0.25">
      <c r="A103" s="43"/>
      <c r="B103" s="221"/>
      <c r="C103" s="222"/>
      <c r="D103" s="67" t="s">
        <v>2228</v>
      </c>
      <c r="E103" s="44">
        <v>351</v>
      </c>
      <c r="F103" s="44">
        <v>367</v>
      </c>
      <c r="G103" s="44">
        <v>354</v>
      </c>
      <c r="H103" s="44"/>
      <c r="I103" s="51"/>
      <c r="J103" s="49"/>
      <c r="K103" s="68">
        <f t="shared" si="3"/>
        <v>1072</v>
      </c>
      <c r="L103" s="69">
        <f>+K102+K103</f>
        <v>2133</v>
      </c>
      <c r="M103" s="49">
        <v>50</v>
      </c>
      <c r="N103" s="52">
        <f>+L103/3000</f>
        <v>0.71099999999999997</v>
      </c>
      <c r="O103" s="71">
        <f>8144/3</f>
        <v>2715</v>
      </c>
      <c r="P103" s="106">
        <v>2133</v>
      </c>
      <c r="Q103" s="44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</row>
    <row r="104" spans="1:29" x14ac:dyDescent="0.25">
      <c r="A104" s="82">
        <v>37440</v>
      </c>
      <c r="B104" s="217" t="s">
        <v>126</v>
      </c>
      <c r="C104" s="218" t="s">
        <v>3692</v>
      </c>
      <c r="D104" s="85" t="s">
        <v>2229</v>
      </c>
      <c r="E104" s="83">
        <v>376</v>
      </c>
      <c r="F104" s="83">
        <v>376</v>
      </c>
      <c r="G104" s="83">
        <v>375</v>
      </c>
      <c r="H104" s="83"/>
      <c r="I104" s="84"/>
      <c r="J104" s="86"/>
      <c r="K104" s="87">
        <f t="shared" si="3"/>
        <v>1127</v>
      </c>
      <c r="L104" s="88"/>
      <c r="M104" s="93">
        <v>37</v>
      </c>
      <c r="N104" s="89"/>
      <c r="O104" s="90"/>
      <c r="P104" s="113"/>
      <c r="Q104" s="44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</row>
    <row r="105" spans="1:29" x14ac:dyDescent="0.25">
      <c r="A105" s="74"/>
      <c r="B105" s="219"/>
      <c r="C105" s="220"/>
      <c r="D105" s="75" t="s">
        <v>2230</v>
      </c>
      <c r="E105" s="47">
        <v>375</v>
      </c>
      <c r="F105" s="47">
        <v>378</v>
      </c>
      <c r="G105" s="47">
        <v>380</v>
      </c>
      <c r="H105" s="47"/>
      <c r="I105" s="48"/>
      <c r="J105" s="45"/>
      <c r="K105" s="76">
        <f t="shared" si="3"/>
        <v>1133</v>
      </c>
      <c r="L105" s="77">
        <f>+K104+K105</f>
        <v>2260</v>
      </c>
      <c r="M105" s="45">
        <v>43</v>
      </c>
      <c r="N105" s="78">
        <v>0.753</v>
      </c>
      <c r="O105" s="79">
        <f>7888/3</f>
        <v>2629</v>
      </c>
      <c r="P105" s="114">
        <v>2037</v>
      </c>
      <c r="Q105" s="44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</row>
    <row r="106" spans="1:29" x14ac:dyDescent="0.25">
      <c r="A106" s="43">
        <v>37807</v>
      </c>
      <c r="B106" s="221" t="s">
        <v>127</v>
      </c>
      <c r="C106" s="222" t="s">
        <v>3692</v>
      </c>
      <c r="D106" s="67" t="s">
        <v>2229</v>
      </c>
      <c r="E106" s="44">
        <v>384</v>
      </c>
      <c r="F106" s="44">
        <v>393</v>
      </c>
      <c r="G106" s="44">
        <v>386</v>
      </c>
      <c r="H106" s="44"/>
      <c r="I106" s="51"/>
      <c r="J106" s="49"/>
      <c r="K106" s="68">
        <f>SUM(E106:J106)</f>
        <v>1163</v>
      </c>
      <c r="L106" s="69"/>
      <c r="M106" s="70">
        <v>31</v>
      </c>
      <c r="N106" s="52"/>
      <c r="O106" s="71"/>
      <c r="P106" s="106"/>
      <c r="Q106" s="44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</row>
    <row r="107" spans="1:29" x14ac:dyDescent="0.25">
      <c r="A107" s="43"/>
      <c r="B107" s="221"/>
      <c r="C107" s="222"/>
      <c r="D107" s="67" t="s">
        <v>2228</v>
      </c>
      <c r="E107" s="44">
        <v>390</v>
      </c>
      <c r="F107" s="44">
        <v>396</v>
      </c>
      <c r="G107" s="44">
        <v>384</v>
      </c>
      <c r="H107" s="44"/>
      <c r="I107" s="51"/>
      <c r="J107" s="49"/>
      <c r="K107" s="68">
        <f>SUM(E107:J107)</f>
        <v>1170</v>
      </c>
      <c r="L107" s="69">
        <f>+K106+K107</f>
        <v>2333</v>
      </c>
      <c r="M107" s="49">
        <v>42</v>
      </c>
      <c r="N107" s="52">
        <v>0.77800000000000002</v>
      </c>
      <c r="O107" s="71">
        <f>8099/3</f>
        <v>2700</v>
      </c>
      <c r="P107" s="106">
        <v>2267</v>
      </c>
      <c r="Q107" s="44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</row>
    <row r="108" spans="1:29" x14ac:dyDescent="0.25">
      <c r="A108" s="82">
        <v>37807</v>
      </c>
      <c r="B108" s="217" t="s">
        <v>127</v>
      </c>
      <c r="C108" s="218" t="s">
        <v>1304</v>
      </c>
      <c r="D108" s="85" t="s">
        <v>2231</v>
      </c>
      <c r="E108" s="83">
        <v>372</v>
      </c>
      <c r="F108" s="83">
        <v>382</v>
      </c>
      <c r="G108" s="83">
        <v>379</v>
      </c>
      <c r="H108" s="83"/>
      <c r="I108" s="84"/>
      <c r="J108" s="86"/>
      <c r="K108" s="87">
        <f>SUM(E108:J108)</f>
        <v>1133</v>
      </c>
      <c r="L108" s="88"/>
      <c r="M108" s="93">
        <v>42</v>
      </c>
      <c r="N108" s="89"/>
      <c r="O108" s="90"/>
      <c r="P108" s="113"/>
      <c r="Q108" s="44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</row>
    <row r="109" spans="1:29" ht="13.8" thickBot="1" x14ac:dyDescent="0.3">
      <c r="A109" s="94"/>
      <c r="B109" s="223"/>
      <c r="C109" s="224"/>
      <c r="D109" s="95" t="s">
        <v>2232</v>
      </c>
      <c r="E109" s="55">
        <v>377</v>
      </c>
      <c r="F109" s="55">
        <v>384</v>
      </c>
      <c r="G109" s="55">
        <v>373</v>
      </c>
      <c r="H109" s="55"/>
      <c r="I109" s="62"/>
      <c r="J109" s="60"/>
      <c r="K109" s="96">
        <f>SUM(E109:J109)</f>
        <v>1134</v>
      </c>
      <c r="L109" s="97">
        <f>+K108+K109</f>
        <v>2267</v>
      </c>
      <c r="M109" s="60">
        <v>42</v>
      </c>
      <c r="N109" s="63">
        <v>0.75600000000000001</v>
      </c>
      <c r="O109" s="98">
        <f>8099/3</f>
        <v>2700</v>
      </c>
      <c r="P109" s="107">
        <v>2267</v>
      </c>
      <c r="Q109" s="44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</row>
    <row r="110" spans="1:29" x14ac:dyDescent="0.25">
      <c r="A110" s="43"/>
      <c r="B110" s="221"/>
      <c r="C110" s="221"/>
      <c r="D110" s="67"/>
      <c r="E110" s="44"/>
      <c r="F110" s="44"/>
      <c r="G110" s="44"/>
      <c r="H110" s="44"/>
      <c r="I110" s="44"/>
      <c r="J110" s="44"/>
      <c r="K110" s="68"/>
      <c r="L110" s="68"/>
      <c r="M110" s="44"/>
      <c r="N110" s="118"/>
      <c r="O110" s="71"/>
      <c r="P110" s="71"/>
      <c r="Q110" s="44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</row>
    <row r="111" spans="1:29" x14ac:dyDescent="0.25">
      <c r="A111" s="43"/>
      <c r="B111" s="221"/>
      <c r="C111" s="221"/>
      <c r="D111" s="67"/>
      <c r="E111" s="44"/>
      <c r="F111" s="44"/>
      <c r="G111" s="44"/>
      <c r="H111" s="44"/>
      <c r="I111" s="44"/>
      <c r="J111" s="44"/>
      <c r="K111" s="68"/>
      <c r="L111" s="68"/>
      <c r="M111" s="44"/>
      <c r="N111" s="118"/>
      <c r="O111" s="71"/>
      <c r="P111" s="71"/>
      <c r="Q111" s="44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</row>
    <row r="112" spans="1:29" x14ac:dyDescent="0.25">
      <c r="A112" s="43"/>
      <c r="B112" s="221"/>
      <c r="C112" s="221"/>
      <c r="D112" s="67"/>
      <c r="E112" s="44"/>
      <c r="F112" s="44"/>
      <c r="G112" s="44"/>
      <c r="H112" s="44"/>
      <c r="I112" s="44"/>
      <c r="J112" s="44"/>
      <c r="K112" s="68"/>
      <c r="L112" s="68"/>
      <c r="M112" s="44"/>
      <c r="N112" s="118"/>
      <c r="O112" s="71"/>
      <c r="P112" s="71"/>
      <c r="Q112" s="44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</row>
    <row r="113" spans="1:29" x14ac:dyDescent="0.25">
      <c r="A113" s="43"/>
      <c r="B113" s="221"/>
      <c r="C113" s="221"/>
      <c r="D113" s="67"/>
      <c r="E113" s="44"/>
      <c r="F113" s="44"/>
      <c r="G113" s="44"/>
      <c r="H113" s="44"/>
      <c r="I113" s="44"/>
      <c r="J113" s="44"/>
      <c r="K113" s="68"/>
      <c r="L113" s="68"/>
      <c r="M113" s="44"/>
      <c r="N113" s="118"/>
      <c r="O113" s="71"/>
      <c r="P113" s="71"/>
      <c r="Q113" s="44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</row>
    <row r="114" spans="1:29" ht="13.8" thickBot="1" x14ac:dyDescent="0.3">
      <c r="A114" s="43"/>
      <c r="B114" s="221"/>
      <c r="C114" s="221"/>
      <c r="D114" s="67"/>
      <c r="E114" s="44"/>
      <c r="F114" s="44"/>
      <c r="G114" s="44"/>
      <c r="H114" s="44"/>
      <c r="I114" s="44"/>
      <c r="J114" s="44"/>
      <c r="K114" s="68"/>
      <c r="L114" s="68"/>
      <c r="M114" s="44"/>
      <c r="N114" s="118"/>
      <c r="O114" s="71"/>
      <c r="P114" s="71"/>
      <c r="Q114" s="44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</row>
    <row r="115" spans="1:29" x14ac:dyDescent="0.25">
      <c r="A115" s="34"/>
      <c r="B115" s="226"/>
      <c r="C115" s="226"/>
      <c r="D115" s="36" t="s">
        <v>2974</v>
      </c>
      <c r="E115" s="37" t="s">
        <v>2975</v>
      </c>
      <c r="F115" s="35" t="s">
        <v>2976</v>
      </c>
      <c r="G115" s="35" t="s">
        <v>2977</v>
      </c>
      <c r="H115" s="35" t="s">
        <v>2978</v>
      </c>
      <c r="I115" s="38" t="s">
        <v>2979</v>
      </c>
      <c r="J115" s="36"/>
      <c r="K115" s="37" t="s">
        <v>2980</v>
      </c>
      <c r="L115" s="38"/>
      <c r="M115" s="36" t="s">
        <v>2981</v>
      </c>
      <c r="N115" s="39"/>
      <c r="O115" s="40" t="s">
        <v>2982</v>
      </c>
      <c r="P115" s="105" t="s">
        <v>2983</v>
      </c>
      <c r="Q115" s="44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</row>
    <row r="116" spans="1:29" x14ac:dyDescent="0.25">
      <c r="A116" s="43" t="s">
        <v>2012</v>
      </c>
      <c r="B116" s="221" t="s">
        <v>2984</v>
      </c>
      <c r="C116" s="227" t="s">
        <v>3026</v>
      </c>
      <c r="D116" s="45"/>
      <c r="E116" s="46"/>
      <c r="F116" s="47"/>
      <c r="G116" s="47"/>
      <c r="H116" s="47"/>
      <c r="I116" s="48" t="s">
        <v>2986</v>
      </c>
      <c r="J116" s="49"/>
      <c r="K116" s="50" t="s">
        <v>2987</v>
      </c>
      <c r="L116" s="51" t="s">
        <v>2987</v>
      </c>
      <c r="M116" s="49"/>
      <c r="N116" s="52" t="s">
        <v>2988</v>
      </c>
      <c r="O116" s="53" t="s">
        <v>2989</v>
      </c>
      <c r="P116" s="106" t="s">
        <v>2989</v>
      </c>
      <c r="Q116" s="44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</row>
    <row r="117" spans="1:29" ht="13.8" thickBot="1" x14ac:dyDescent="0.3">
      <c r="A117" s="94"/>
      <c r="B117" s="223"/>
      <c r="C117" s="223"/>
      <c r="D117" s="56" t="s">
        <v>2991</v>
      </c>
      <c r="E117" s="57" t="s">
        <v>2992</v>
      </c>
      <c r="F117" s="58" t="s">
        <v>329</v>
      </c>
      <c r="G117" s="58" t="s">
        <v>330</v>
      </c>
      <c r="H117" s="58"/>
      <c r="I117" s="59"/>
      <c r="J117" s="60"/>
      <c r="K117" s="61"/>
      <c r="L117" s="62"/>
      <c r="M117" s="60"/>
      <c r="N117" s="63"/>
      <c r="O117" s="64" t="s">
        <v>3027</v>
      </c>
      <c r="P117" s="107"/>
      <c r="Q117" s="44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</row>
    <row r="118" spans="1:29" ht="15.6" x14ac:dyDescent="0.3">
      <c r="A118" s="34">
        <v>38168</v>
      </c>
      <c r="B118" s="226" t="s">
        <v>334</v>
      </c>
      <c r="C118" s="490" t="s">
        <v>1309</v>
      </c>
      <c r="D118" s="108" t="s">
        <v>2233</v>
      </c>
      <c r="E118" s="35">
        <v>393</v>
      </c>
      <c r="F118" s="35">
        <v>406</v>
      </c>
      <c r="G118" s="35">
        <v>376</v>
      </c>
      <c r="H118" s="35"/>
      <c r="I118" s="38"/>
      <c r="J118" s="36"/>
      <c r="K118" s="109">
        <f t="shared" si="3"/>
        <v>1175</v>
      </c>
      <c r="L118" s="110"/>
      <c r="M118" s="111">
        <v>27</v>
      </c>
      <c r="N118" s="39"/>
      <c r="O118" s="112"/>
      <c r="P118" s="105"/>
      <c r="Q118" s="44"/>
      <c r="R118" s="428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</row>
    <row r="119" spans="1:29" x14ac:dyDescent="0.25">
      <c r="A119" s="43"/>
      <c r="B119" s="221"/>
      <c r="C119" s="222"/>
      <c r="D119" s="67" t="s">
        <v>2234</v>
      </c>
      <c r="E119" s="44">
        <v>389</v>
      </c>
      <c r="F119" s="44">
        <v>403</v>
      </c>
      <c r="G119" s="44">
        <v>371</v>
      </c>
      <c r="H119" s="44"/>
      <c r="I119" s="51"/>
      <c r="J119" s="49"/>
      <c r="K119" s="68">
        <f t="shared" si="3"/>
        <v>1163</v>
      </c>
      <c r="L119" s="69">
        <f>+K118+K119</f>
        <v>2338</v>
      </c>
      <c r="M119" s="49">
        <v>52</v>
      </c>
      <c r="N119" s="52">
        <v>0.77900000000000003</v>
      </c>
      <c r="O119" s="71">
        <f>8145/3</f>
        <v>2715</v>
      </c>
      <c r="P119" s="106">
        <v>2137</v>
      </c>
      <c r="Q119" s="44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</row>
    <row r="120" spans="1:29" x14ac:dyDescent="0.25">
      <c r="A120" s="82">
        <v>38539</v>
      </c>
      <c r="B120" s="217" t="s">
        <v>1988</v>
      </c>
      <c r="C120" s="218" t="s">
        <v>2752</v>
      </c>
      <c r="D120" s="85" t="s">
        <v>2235</v>
      </c>
      <c r="E120" s="83">
        <v>368</v>
      </c>
      <c r="F120" s="83">
        <v>378</v>
      </c>
      <c r="G120" s="83">
        <v>361</v>
      </c>
      <c r="H120" s="83"/>
      <c r="I120" s="84"/>
      <c r="J120" s="86"/>
      <c r="K120" s="87">
        <f t="shared" si="3"/>
        <v>1107</v>
      </c>
      <c r="L120" s="88"/>
      <c r="M120" s="93">
        <v>46</v>
      </c>
      <c r="N120" s="89"/>
      <c r="O120" s="90"/>
      <c r="P120" s="113"/>
      <c r="Q120" s="44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</row>
    <row r="121" spans="1:29" x14ac:dyDescent="0.25">
      <c r="A121" s="74"/>
      <c r="B121" s="219"/>
      <c r="C121" s="220"/>
      <c r="D121" s="75" t="s">
        <v>2236</v>
      </c>
      <c r="E121" s="47">
        <v>372</v>
      </c>
      <c r="F121" s="47">
        <v>370</v>
      </c>
      <c r="G121" s="47">
        <v>357</v>
      </c>
      <c r="H121" s="47"/>
      <c r="I121" s="48"/>
      <c r="J121" s="45"/>
      <c r="K121" s="76">
        <f t="shared" si="3"/>
        <v>1099</v>
      </c>
      <c r="L121" s="77">
        <f>+K120+K121</f>
        <v>2206</v>
      </c>
      <c r="M121" s="45">
        <v>47</v>
      </c>
      <c r="N121" s="78">
        <v>0.73499999999999999</v>
      </c>
      <c r="O121" s="79">
        <f>8157/3</f>
        <v>2719</v>
      </c>
      <c r="P121" s="114">
        <v>2126</v>
      </c>
      <c r="Q121" s="44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</row>
    <row r="122" spans="1:29" x14ac:dyDescent="0.25">
      <c r="A122" s="43">
        <v>38903</v>
      </c>
      <c r="B122" s="221" t="s">
        <v>112</v>
      </c>
      <c r="C122" s="222" t="s">
        <v>447</v>
      </c>
      <c r="D122" s="67" t="s">
        <v>2237</v>
      </c>
      <c r="E122" s="44">
        <v>372</v>
      </c>
      <c r="F122" s="44">
        <v>372</v>
      </c>
      <c r="G122" s="44">
        <v>378</v>
      </c>
      <c r="H122" s="44"/>
      <c r="I122" s="51"/>
      <c r="J122" s="49"/>
      <c r="K122" s="68">
        <f t="shared" si="3"/>
        <v>1122</v>
      </c>
      <c r="L122" s="69"/>
      <c r="M122" s="70">
        <v>46</v>
      </c>
      <c r="N122" s="52"/>
      <c r="O122" s="71"/>
      <c r="P122" s="106"/>
      <c r="Q122" s="44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</row>
    <row r="123" spans="1:29" x14ac:dyDescent="0.25">
      <c r="A123" s="74"/>
      <c r="B123" s="219"/>
      <c r="C123" s="220"/>
      <c r="D123" s="75" t="s">
        <v>2625</v>
      </c>
      <c r="E123" s="47">
        <v>378</v>
      </c>
      <c r="F123" s="47">
        <v>362</v>
      </c>
      <c r="G123" s="47">
        <v>374</v>
      </c>
      <c r="H123" s="47"/>
      <c r="I123" s="48"/>
      <c r="J123" s="45"/>
      <c r="K123" s="76">
        <f t="shared" si="3"/>
        <v>1114</v>
      </c>
      <c r="L123" s="77">
        <f>+K122+K123</f>
        <v>2236</v>
      </c>
      <c r="M123" s="45">
        <v>47</v>
      </c>
      <c r="N123" s="78">
        <v>0.745</v>
      </c>
      <c r="O123" s="79">
        <f>8239/3</f>
        <v>2746</v>
      </c>
      <c r="P123" s="114">
        <v>2156</v>
      </c>
      <c r="Q123" s="44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</row>
    <row r="124" spans="1:29" x14ac:dyDescent="0.25">
      <c r="A124" s="43">
        <v>39267</v>
      </c>
      <c r="B124" s="221" t="s">
        <v>3023</v>
      </c>
      <c r="C124" s="222" t="s">
        <v>453</v>
      </c>
      <c r="D124" s="67" t="s">
        <v>2626</v>
      </c>
      <c r="E124" s="44">
        <v>384</v>
      </c>
      <c r="F124" s="44">
        <v>408</v>
      </c>
      <c r="G124" s="44">
        <v>367</v>
      </c>
      <c r="H124" s="44"/>
      <c r="I124" s="51"/>
      <c r="J124" s="49"/>
      <c r="K124" s="68">
        <f t="shared" si="3"/>
        <v>1159</v>
      </c>
      <c r="L124" s="69"/>
      <c r="M124" s="70">
        <v>42</v>
      </c>
      <c r="N124" s="52"/>
      <c r="O124" s="71"/>
      <c r="P124" s="106"/>
      <c r="Q124" s="44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</row>
    <row r="125" spans="1:29" x14ac:dyDescent="0.25">
      <c r="A125" s="74"/>
      <c r="B125" s="219"/>
      <c r="C125" s="220"/>
      <c r="D125" s="75" t="s">
        <v>2627</v>
      </c>
      <c r="E125" s="47">
        <v>376</v>
      </c>
      <c r="F125" s="47">
        <v>387</v>
      </c>
      <c r="G125" s="47">
        <v>371</v>
      </c>
      <c r="H125" s="47"/>
      <c r="I125" s="48"/>
      <c r="J125" s="45"/>
      <c r="K125" s="76">
        <f t="shared" si="3"/>
        <v>1134</v>
      </c>
      <c r="L125" s="77">
        <f>+K124+K125</f>
        <v>2293</v>
      </c>
      <c r="M125" s="45">
        <v>49</v>
      </c>
      <c r="N125" s="78">
        <f>+L125/3000</f>
        <v>0.76400000000000001</v>
      </c>
      <c r="O125" s="79">
        <f>8339/3</f>
        <v>2780</v>
      </c>
      <c r="P125" s="114">
        <v>2224</v>
      </c>
      <c r="Q125" s="44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</row>
    <row r="126" spans="1:29" x14ac:dyDescent="0.25">
      <c r="A126" s="43">
        <v>39631</v>
      </c>
      <c r="B126" s="221" t="s">
        <v>123</v>
      </c>
      <c r="C126" s="222" t="s">
        <v>3592</v>
      </c>
      <c r="D126" s="67" t="s">
        <v>3694</v>
      </c>
      <c r="E126" s="44">
        <v>373</v>
      </c>
      <c r="F126" s="44">
        <v>377</v>
      </c>
      <c r="G126" s="44">
        <v>376</v>
      </c>
      <c r="H126" s="44"/>
      <c r="I126" s="51"/>
      <c r="J126" s="49"/>
      <c r="K126" s="68">
        <f t="shared" si="3"/>
        <v>1126</v>
      </c>
      <c r="L126" s="69"/>
      <c r="M126" s="70">
        <v>47</v>
      </c>
      <c r="N126" s="52"/>
      <c r="O126" s="71"/>
      <c r="P126" s="106"/>
      <c r="Q126" s="44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</row>
    <row r="127" spans="1:29" x14ac:dyDescent="0.25">
      <c r="A127" s="74"/>
      <c r="B127" s="219"/>
      <c r="C127" s="220"/>
      <c r="D127" s="75" t="s">
        <v>3695</v>
      </c>
      <c r="E127" s="47">
        <v>362</v>
      </c>
      <c r="F127" s="47">
        <v>379</v>
      </c>
      <c r="G127" s="47">
        <v>373</v>
      </c>
      <c r="H127" s="47"/>
      <c r="I127" s="48"/>
      <c r="J127" s="45"/>
      <c r="K127" s="76">
        <f t="shared" si="3"/>
        <v>1114</v>
      </c>
      <c r="L127" s="77">
        <f>+K126+K127</f>
        <v>2240</v>
      </c>
      <c r="M127" s="45">
        <v>51</v>
      </c>
      <c r="N127" s="78">
        <f>+L127/3000</f>
        <v>0.747</v>
      </c>
      <c r="O127" s="79">
        <f>8074/3</f>
        <v>2691</v>
      </c>
      <c r="P127" s="114">
        <v>2172</v>
      </c>
      <c r="Q127" s="44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</row>
    <row r="128" spans="1:29" x14ac:dyDescent="0.25">
      <c r="A128" s="43">
        <v>39995</v>
      </c>
      <c r="B128" s="221" t="s">
        <v>116</v>
      </c>
      <c r="C128" s="222" t="s">
        <v>3598</v>
      </c>
      <c r="D128" s="67" t="s">
        <v>4293</v>
      </c>
      <c r="E128" s="44">
        <v>392</v>
      </c>
      <c r="F128" s="44">
        <v>393</v>
      </c>
      <c r="G128" s="44">
        <v>377</v>
      </c>
      <c r="H128" s="44"/>
      <c r="I128" s="51"/>
      <c r="J128" s="49"/>
      <c r="K128" s="68">
        <f t="shared" ref="K128:K147" si="4">SUM(E128:J128)</f>
        <v>1162</v>
      </c>
      <c r="L128" s="69"/>
      <c r="M128" s="70">
        <v>39</v>
      </c>
      <c r="N128" s="52"/>
      <c r="O128" s="71"/>
      <c r="P128" s="106"/>
      <c r="Q128" s="44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</row>
    <row r="129" spans="1:29" x14ac:dyDescent="0.25">
      <c r="A129" s="43"/>
      <c r="B129" s="221"/>
      <c r="C129" s="222"/>
      <c r="D129" s="67" t="s">
        <v>4294</v>
      </c>
      <c r="E129" s="44">
        <v>384</v>
      </c>
      <c r="F129" s="44">
        <v>399</v>
      </c>
      <c r="G129" s="44">
        <v>378</v>
      </c>
      <c r="H129" s="44"/>
      <c r="I129" s="51"/>
      <c r="J129" s="49"/>
      <c r="K129" s="68">
        <f t="shared" si="4"/>
        <v>1161</v>
      </c>
      <c r="L129" s="69">
        <f>+K128+K129</f>
        <v>2323</v>
      </c>
      <c r="M129" s="49">
        <v>50</v>
      </c>
      <c r="N129" s="52">
        <f>+L129/3000</f>
        <v>0.77400000000000002</v>
      </c>
      <c r="O129" s="71">
        <f>8220/3</f>
        <v>2740</v>
      </c>
      <c r="P129" s="106">
        <v>2217</v>
      </c>
      <c r="Q129" s="44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</row>
    <row r="130" spans="1:29" x14ac:dyDescent="0.25">
      <c r="A130" s="82">
        <v>40361</v>
      </c>
      <c r="B130" s="217" t="s">
        <v>1297</v>
      </c>
      <c r="C130" s="218" t="s">
        <v>3510</v>
      </c>
      <c r="D130" s="85" t="s">
        <v>1300</v>
      </c>
      <c r="E130" s="83">
        <v>402</v>
      </c>
      <c r="F130" s="83">
        <v>377</v>
      </c>
      <c r="G130" s="83">
        <v>392</v>
      </c>
      <c r="H130" s="83"/>
      <c r="I130" s="84"/>
      <c r="J130" s="86"/>
      <c r="K130" s="87">
        <f t="shared" si="4"/>
        <v>1171</v>
      </c>
      <c r="L130" s="88"/>
      <c r="M130" s="93">
        <v>32</v>
      </c>
      <c r="N130" s="89"/>
      <c r="O130" s="90"/>
      <c r="P130" s="113"/>
      <c r="Q130" s="44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</row>
    <row r="131" spans="1:29" x14ac:dyDescent="0.25">
      <c r="A131" s="74"/>
      <c r="B131" s="219"/>
      <c r="C131" s="220"/>
      <c r="D131" s="75" t="s">
        <v>3123</v>
      </c>
      <c r="E131" s="47">
        <v>401</v>
      </c>
      <c r="F131" s="47">
        <v>385</v>
      </c>
      <c r="G131" s="47">
        <v>386</v>
      </c>
      <c r="H131" s="47"/>
      <c r="I131" s="48"/>
      <c r="J131" s="45"/>
      <c r="K131" s="76">
        <f t="shared" si="4"/>
        <v>1172</v>
      </c>
      <c r="L131" s="77">
        <f>+K130+K131</f>
        <v>2343</v>
      </c>
      <c r="M131" s="45">
        <v>50</v>
      </c>
      <c r="N131" s="78">
        <f>+L131/3000</f>
        <v>0.78100000000000003</v>
      </c>
      <c r="O131" s="79">
        <f>8220/3</f>
        <v>2740</v>
      </c>
      <c r="P131" s="114">
        <v>2217</v>
      </c>
      <c r="Q131" s="44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</row>
    <row r="132" spans="1:29" x14ac:dyDescent="0.25">
      <c r="A132" s="82">
        <v>40361</v>
      </c>
      <c r="B132" s="217" t="s">
        <v>1297</v>
      </c>
      <c r="C132" s="218" t="s">
        <v>3598</v>
      </c>
      <c r="D132" s="85" t="s">
        <v>4293</v>
      </c>
      <c r="E132" s="83">
        <v>399</v>
      </c>
      <c r="F132" s="83">
        <v>388</v>
      </c>
      <c r="G132" s="83">
        <v>384</v>
      </c>
      <c r="H132" s="83"/>
      <c r="I132" s="84"/>
      <c r="J132" s="86"/>
      <c r="K132" s="87">
        <f t="shared" si="4"/>
        <v>1171</v>
      </c>
      <c r="L132" s="88"/>
      <c r="M132" s="93">
        <v>32</v>
      </c>
      <c r="N132" s="89"/>
      <c r="O132" s="90"/>
      <c r="P132" s="113"/>
      <c r="Q132" s="44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</row>
    <row r="133" spans="1:29" x14ac:dyDescent="0.25">
      <c r="A133" s="74"/>
      <c r="B133" s="219"/>
      <c r="C133" s="220"/>
      <c r="D133" s="75" t="s">
        <v>4294</v>
      </c>
      <c r="E133" s="47">
        <v>398</v>
      </c>
      <c r="F133" s="47">
        <v>389</v>
      </c>
      <c r="G133" s="47">
        <v>385</v>
      </c>
      <c r="H133" s="47"/>
      <c r="I133" s="48"/>
      <c r="J133" s="45"/>
      <c r="K133" s="76">
        <f t="shared" si="4"/>
        <v>1172</v>
      </c>
      <c r="L133" s="77">
        <f>+K132+K133</f>
        <v>2343</v>
      </c>
      <c r="M133" s="45">
        <v>50</v>
      </c>
      <c r="N133" s="78">
        <f>+L133/3000</f>
        <v>0.78100000000000003</v>
      </c>
      <c r="O133" s="79">
        <f>8220/3</f>
        <v>2740</v>
      </c>
      <c r="P133" s="114">
        <v>2217</v>
      </c>
      <c r="Q133" s="44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</row>
    <row r="134" spans="1:29" x14ac:dyDescent="0.25">
      <c r="A134" s="82">
        <v>40361</v>
      </c>
      <c r="B134" s="217" t="s">
        <v>1297</v>
      </c>
      <c r="C134" s="218" t="s">
        <v>3597</v>
      </c>
      <c r="D134" s="85" t="s">
        <v>3124</v>
      </c>
      <c r="E134" s="83">
        <v>401</v>
      </c>
      <c r="F134" s="83">
        <v>386</v>
      </c>
      <c r="G134" s="83">
        <v>384</v>
      </c>
      <c r="H134" s="83"/>
      <c r="I134" s="84"/>
      <c r="J134" s="86"/>
      <c r="K134" s="87">
        <f t="shared" si="4"/>
        <v>1171</v>
      </c>
      <c r="L134" s="88"/>
      <c r="M134" s="93">
        <v>35</v>
      </c>
      <c r="N134" s="89"/>
      <c r="O134" s="90"/>
      <c r="P134" s="113"/>
      <c r="Q134" s="44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</row>
    <row r="135" spans="1:29" x14ac:dyDescent="0.25">
      <c r="A135" s="74"/>
      <c r="B135" s="219"/>
      <c r="C135" s="220"/>
      <c r="D135" s="75" t="s">
        <v>3125</v>
      </c>
      <c r="E135" s="47">
        <v>401</v>
      </c>
      <c r="F135" s="47">
        <v>382</v>
      </c>
      <c r="G135" s="47">
        <v>384</v>
      </c>
      <c r="H135" s="47"/>
      <c r="I135" s="48"/>
      <c r="J135" s="45"/>
      <c r="K135" s="76">
        <f t="shared" si="4"/>
        <v>1167</v>
      </c>
      <c r="L135" s="77">
        <f>+K134+K135</f>
        <v>2338</v>
      </c>
      <c r="M135" s="45">
        <v>50</v>
      </c>
      <c r="N135" s="78">
        <f>+L135/3000</f>
        <v>0.77900000000000003</v>
      </c>
      <c r="O135" s="79">
        <f>8220/3</f>
        <v>2740</v>
      </c>
      <c r="P135" s="114">
        <v>2217</v>
      </c>
      <c r="Q135" s="44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</row>
    <row r="136" spans="1:29" x14ac:dyDescent="0.25">
      <c r="A136" s="43">
        <v>40730</v>
      </c>
      <c r="B136" s="221" t="s">
        <v>120</v>
      </c>
      <c r="C136" s="222" t="s">
        <v>3510</v>
      </c>
      <c r="D136" s="67" t="s">
        <v>3123</v>
      </c>
      <c r="E136" s="44">
        <v>386</v>
      </c>
      <c r="F136" s="44">
        <v>384</v>
      </c>
      <c r="G136" s="44">
        <v>383</v>
      </c>
      <c r="H136" s="44"/>
      <c r="I136" s="51"/>
      <c r="J136" s="49"/>
      <c r="K136" s="68">
        <f t="shared" ref="K136:K145" si="5">SUM(E136:J136)</f>
        <v>1153</v>
      </c>
      <c r="L136" s="69"/>
      <c r="M136" s="70">
        <v>39</v>
      </c>
      <c r="N136" s="52"/>
      <c r="O136" s="71"/>
      <c r="P136" s="106"/>
      <c r="Q136" s="44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</row>
    <row r="137" spans="1:29" ht="13.8" thickBot="1" x14ac:dyDescent="0.3">
      <c r="A137" s="94"/>
      <c r="B137" s="223"/>
      <c r="C137" s="224"/>
      <c r="D137" s="95" t="s">
        <v>1300</v>
      </c>
      <c r="E137" s="55">
        <v>385</v>
      </c>
      <c r="F137" s="55">
        <v>385</v>
      </c>
      <c r="G137" s="55">
        <v>386</v>
      </c>
      <c r="H137" s="55"/>
      <c r="I137" s="62"/>
      <c r="J137" s="60"/>
      <c r="K137" s="96">
        <f t="shared" si="5"/>
        <v>1156</v>
      </c>
      <c r="L137" s="97">
        <f>+K136+K137</f>
        <v>2309</v>
      </c>
      <c r="M137" s="60">
        <v>50</v>
      </c>
      <c r="N137" s="63">
        <f>+L137/3000</f>
        <v>0.77</v>
      </c>
      <c r="O137" s="98">
        <f>8090/3</f>
        <v>2697</v>
      </c>
      <c r="P137" s="107">
        <v>2244</v>
      </c>
      <c r="Q137" s="44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</row>
    <row r="138" spans="1:29" x14ac:dyDescent="0.25">
      <c r="A138" s="43">
        <v>40730</v>
      </c>
      <c r="B138" s="221" t="s">
        <v>120</v>
      </c>
      <c r="C138" s="222" t="s">
        <v>3597</v>
      </c>
      <c r="D138" s="67" t="s">
        <v>1983</v>
      </c>
      <c r="E138" s="44">
        <v>387</v>
      </c>
      <c r="F138" s="44">
        <v>385</v>
      </c>
      <c r="G138" s="44">
        <v>383</v>
      </c>
      <c r="H138" s="44"/>
      <c r="I138" s="51"/>
      <c r="J138" s="49"/>
      <c r="K138" s="68">
        <f t="shared" si="5"/>
        <v>1155</v>
      </c>
      <c r="L138" s="69"/>
      <c r="M138" s="70">
        <v>42</v>
      </c>
      <c r="N138" s="52"/>
      <c r="O138" s="71"/>
      <c r="P138" s="106"/>
      <c r="Q138" s="44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</row>
    <row r="139" spans="1:29" ht="13.8" thickBot="1" x14ac:dyDescent="0.3">
      <c r="A139" s="94"/>
      <c r="B139" s="223"/>
      <c r="C139" s="224"/>
      <c r="D139" s="95" t="s">
        <v>1984</v>
      </c>
      <c r="E139" s="55">
        <v>386</v>
      </c>
      <c r="F139" s="55">
        <v>385</v>
      </c>
      <c r="G139" s="55">
        <v>379</v>
      </c>
      <c r="H139" s="55"/>
      <c r="I139" s="62"/>
      <c r="J139" s="60"/>
      <c r="K139" s="96">
        <f t="shared" si="5"/>
        <v>1150</v>
      </c>
      <c r="L139" s="97">
        <f>+K138+K139</f>
        <v>2305</v>
      </c>
      <c r="M139" s="60">
        <v>50</v>
      </c>
      <c r="N139" s="63">
        <f>+L139/3000</f>
        <v>0.76800000000000002</v>
      </c>
      <c r="O139" s="98">
        <f>8090/3</f>
        <v>2697</v>
      </c>
      <c r="P139" s="107">
        <v>2244</v>
      </c>
      <c r="Q139" s="44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</row>
    <row r="140" spans="1:29" x14ac:dyDescent="0.25">
      <c r="A140" s="43">
        <v>41094</v>
      </c>
      <c r="B140" s="221" t="s">
        <v>126</v>
      </c>
      <c r="C140" s="222" t="s">
        <v>1790</v>
      </c>
      <c r="D140" s="67" t="s">
        <v>2782</v>
      </c>
      <c r="E140" s="44">
        <v>387</v>
      </c>
      <c r="F140" s="44">
        <v>388</v>
      </c>
      <c r="G140" s="44">
        <v>393</v>
      </c>
      <c r="H140" s="44"/>
      <c r="I140" s="51"/>
      <c r="J140" s="49"/>
      <c r="K140" s="68">
        <f t="shared" si="5"/>
        <v>1168</v>
      </c>
      <c r="L140" s="69"/>
      <c r="M140" s="70">
        <v>31</v>
      </c>
      <c r="N140" s="52"/>
      <c r="O140" s="71"/>
      <c r="P140" s="106"/>
      <c r="Q140" s="44"/>
      <c r="R140" s="428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</row>
    <row r="141" spans="1:29" ht="13.8" thickBot="1" x14ac:dyDescent="0.3">
      <c r="A141" s="94"/>
      <c r="B141" s="223"/>
      <c r="C141" s="224"/>
      <c r="D141" s="95" t="s">
        <v>2783</v>
      </c>
      <c r="E141" s="55">
        <v>386</v>
      </c>
      <c r="F141" s="55">
        <v>392</v>
      </c>
      <c r="G141" s="55">
        <v>394</v>
      </c>
      <c r="H141" s="55"/>
      <c r="I141" s="62"/>
      <c r="J141" s="60"/>
      <c r="K141" s="96">
        <f t="shared" si="5"/>
        <v>1172</v>
      </c>
      <c r="L141" s="97">
        <f>+K140+K141</f>
        <v>2340</v>
      </c>
      <c r="M141" s="60">
        <v>51</v>
      </c>
      <c r="N141" s="63">
        <f>+L141/3000</f>
        <v>0.78</v>
      </c>
      <c r="O141" s="421">
        <f>8253/3</f>
        <v>2751</v>
      </c>
      <c r="P141" s="107">
        <v>2222</v>
      </c>
      <c r="Q141" s="44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</row>
    <row r="142" spans="1:29" x14ac:dyDescent="0.25">
      <c r="A142" s="43">
        <v>41460</v>
      </c>
      <c r="B142" s="221" t="s">
        <v>3643</v>
      </c>
      <c r="C142" s="222" t="s">
        <v>3510</v>
      </c>
      <c r="D142" s="67" t="s">
        <v>3644</v>
      </c>
      <c r="E142" s="44">
        <v>391</v>
      </c>
      <c r="F142" s="44">
        <v>390</v>
      </c>
      <c r="G142" s="44">
        <v>385</v>
      </c>
      <c r="H142" s="44"/>
      <c r="I142" s="51"/>
      <c r="J142" s="49"/>
      <c r="K142" s="68">
        <f t="shared" si="5"/>
        <v>1166</v>
      </c>
      <c r="L142" s="69"/>
      <c r="M142" s="70">
        <v>29</v>
      </c>
      <c r="N142" s="52"/>
      <c r="O142" s="71"/>
      <c r="P142" s="106"/>
      <c r="Q142" s="44"/>
      <c r="R142" s="428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</row>
    <row r="143" spans="1:29" ht="13.8" thickBot="1" x14ac:dyDescent="0.3">
      <c r="A143" s="94"/>
      <c r="B143" s="223"/>
      <c r="C143" s="224"/>
      <c r="D143" s="95" t="s">
        <v>3645</v>
      </c>
      <c r="E143" s="55">
        <v>389</v>
      </c>
      <c r="F143" s="55">
        <v>384</v>
      </c>
      <c r="G143" s="55">
        <v>381</v>
      </c>
      <c r="H143" s="55"/>
      <c r="I143" s="62"/>
      <c r="J143" s="60"/>
      <c r="K143" s="96">
        <f t="shared" si="5"/>
        <v>1154</v>
      </c>
      <c r="L143" s="97">
        <f>+K142+K143</f>
        <v>2320</v>
      </c>
      <c r="M143" s="60">
        <v>48</v>
      </c>
      <c r="N143" s="63">
        <f>+L143/3000</f>
        <v>0.77300000000000002</v>
      </c>
      <c r="O143" s="421">
        <f>8041/3</f>
        <v>2680</v>
      </c>
      <c r="P143" s="107">
        <v>2212</v>
      </c>
      <c r="Q143" s="44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</row>
    <row r="144" spans="1:29" x14ac:dyDescent="0.25">
      <c r="A144" s="43">
        <v>41822</v>
      </c>
      <c r="B144" s="221" t="s">
        <v>1013</v>
      </c>
      <c r="C144" s="222" t="s">
        <v>1014</v>
      </c>
      <c r="D144" s="488" t="s">
        <v>1015</v>
      </c>
      <c r="E144" s="44">
        <v>394</v>
      </c>
      <c r="F144" s="44">
        <v>387</v>
      </c>
      <c r="G144" s="44">
        <v>392</v>
      </c>
      <c r="H144" s="44"/>
      <c r="I144" s="51"/>
      <c r="J144" s="49"/>
      <c r="K144" s="68">
        <f t="shared" si="5"/>
        <v>1173</v>
      </c>
      <c r="L144" s="69"/>
      <c r="M144" s="70">
        <v>29</v>
      </c>
      <c r="N144" s="52"/>
      <c r="O144" s="71"/>
      <c r="P144" s="106"/>
      <c r="Q144" s="44"/>
      <c r="R144" s="428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</row>
    <row r="145" spans="1:29" ht="13.8" thickBot="1" x14ac:dyDescent="0.3">
      <c r="A145" s="94"/>
      <c r="B145" s="223"/>
      <c r="C145" s="224"/>
      <c r="D145" s="485" t="s">
        <v>1016</v>
      </c>
      <c r="E145" s="55">
        <v>390</v>
      </c>
      <c r="F145" s="55">
        <v>389</v>
      </c>
      <c r="G145" s="55">
        <v>388</v>
      </c>
      <c r="H145" s="55"/>
      <c r="I145" s="62"/>
      <c r="J145" s="60"/>
      <c r="K145" s="96">
        <f t="shared" si="5"/>
        <v>1167</v>
      </c>
      <c r="L145" s="97">
        <f>+K144+K145</f>
        <v>2340</v>
      </c>
      <c r="M145" s="60">
        <v>48</v>
      </c>
      <c r="N145" s="63">
        <f>+L145/3000</f>
        <v>0.78</v>
      </c>
      <c r="O145" s="421">
        <f>8058/3</f>
        <v>2686</v>
      </c>
      <c r="P145" s="107">
        <v>2212</v>
      </c>
      <c r="Q145" s="44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</row>
    <row r="146" spans="1:29" x14ac:dyDescent="0.25">
      <c r="A146" s="43">
        <v>42186</v>
      </c>
      <c r="B146" s="221" t="s">
        <v>337</v>
      </c>
      <c r="C146" s="560" t="s">
        <v>1014</v>
      </c>
      <c r="D146" s="488" t="s">
        <v>1015</v>
      </c>
      <c r="E146" s="44">
        <v>407</v>
      </c>
      <c r="F146" s="44">
        <v>401</v>
      </c>
      <c r="G146" s="44">
        <v>400</v>
      </c>
      <c r="H146" s="44"/>
      <c r="I146" s="51"/>
      <c r="J146" s="49"/>
      <c r="K146" s="68">
        <f t="shared" si="4"/>
        <v>1208</v>
      </c>
      <c r="L146" s="69"/>
      <c r="M146" s="70">
        <v>21</v>
      </c>
      <c r="N146" s="52"/>
      <c r="O146" s="71"/>
      <c r="P146" s="106"/>
      <c r="Q146" s="44"/>
      <c r="R146" s="428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</row>
    <row r="147" spans="1:29" ht="13.8" thickBot="1" x14ac:dyDescent="0.3">
      <c r="A147" s="94"/>
      <c r="B147" s="223"/>
      <c r="C147" s="224"/>
      <c r="D147" s="485" t="s">
        <v>1016</v>
      </c>
      <c r="E147" s="55">
        <v>399</v>
      </c>
      <c r="F147" s="55">
        <v>397</v>
      </c>
      <c r="G147" s="55">
        <v>396</v>
      </c>
      <c r="H147" s="55"/>
      <c r="I147" s="62"/>
      <c r="J147" s="60"/>
      <c r="K147" s="96">
        <f t="shared" si="4"/>
        <v>1192</v>
      </c>
      <c r="L147" s="97">
        <f>+K146+K147</f>
        <v>2400</v>
      </c>
      <c r="M147" s="60">
        <v>53</v>
      </c>
      <c r="N147" s="63">
        <f>+L147/3000</f>
        <v>0.8</v>
      </c>
      <c r="O147" s="421">
        <f>8343/3</f>
        <v>2781</v>
      </c>
      <c r="P147" s="107">
        <v>2253</v>
      </c>
      <c r="Q147" s="44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</row>
    <row r="148" spans="1:29" x14ac:dyDescent="0.25">
      <c r="A148" s="43">
        <v>42557</v>
      </c>
      <c r="B148" s="221" t="s">
        <v>123</v>
      </c>
      <c r="C148" s="560" t="s">
        <v>1014</v>
      </c>
      <c r="D148" s="488" t="s">
        <v>4322</v>
      </c>
      <c r="E148" s="44">
        <v>403</v>
      </c>
      <c r="F148" s="44">
        <v>401</v>
      </c>
      <c r="G148" s="44">
        <v>408</v>
      </c>
      <c r="H148" s="44"/>
      <c r="I148" s="51"/>
      <c r="J148" s="49"/>
      <c r="K148" s="68">
        <f t="shared" ref="K148:K153" si="6">SUM(E148:J148)</f>
        <v>1212</v>
      </c>
      <c r="L148" s="69"/>
      <c r="M148" s="70">
        <v>21</v>
      </c>
      <c r="N148" s="52"/>
      <c r="O148" s="71"/>
      <c r="P148" s="106"/>
      <c r="Q148" s="44"/>
      <c r="R148" s="428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</row>
    <row r="149" spans="1:29" ht="13.8" thickBot="1" x14ac:dyDescent="0.3">
      <c r="A149" s="94"/>
      <c r="B149" s="223"/>
      <c r="C149" s="224"/>
      <c r="D149" s="485" t="s">
        <v>4323</v>
      </c>
      <c r="E149" s="55">
        <v>406</v>
      </c>
      <c r="F149" s="55">
        <v>399</v>
      </c>
      <c r="G149" s="55">
        <v>410</v>
      </c>
      <c r="H149" s="55"/>
      <c r="I149" s="62"/>
      <c r="J149" s="60"/>
      <c r="K149" s="96">
        <f t="shared" si="6"/>
        <v>1215</v>
      </c>
      <c r="L149" s="97">
        <f t="shared" ref="L149" si="7">+K148+K149</f>
        <v>2427</v>
      </c>
      <c r="M149" s="60">
        <v>57</v>
      </c>
      <c r="N149" s="63">
        <f t="shared" ref="N149" si="8">+L149/3000</f>
        <v>0.80900000000000005</v>
      </c>
      <c r="O149" s="421">
        <f>8394/3</f>
        <v>2798</v>
      </c>
      <c r="P149" s="107">
        <v>2236</v>
      </c>
      <c r="Q149" s="44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</row>
    <row r="150" spans="1:29" x14ac:dyDescent="0.25">
      <c r="A150" s="43">
        <v>42557</v>
      </c>
      <c r="B150" s="221" t="s">
        <v>123</v>
      </c>
      <c r="C150" s="222" t="s">
        <v>2857</v>
      </c>
      <c r="D150" s="488" t="s">
        <v>4324</v>
      </c>
      <c r="E150" s="44">
        <v>393</v>
      </c>
      <c r="F150" s="44">
        <v>396</v>
      </c>
      <c r="G150" s="44">
        <v>393</v>
      </c>
      <c r="H150" s="44"/>
      <c r="I150" s="51"/>
      <c r="J150" s="49"/>
      <c r="K150" s="68">
        <f t="shared" ref="K150:K151" si="9">SUM(E150:J150)</f>
        <v>1182</v>
      </c>
      <c r="L150" s="69"/>
      <c r="M150" s="70">
        <v>40</v>
      </c>
      <c r="N150" s="52"/>
      <c r="O150" s="71"/>
      <c r="P150" s="106"/>
      <c r="Q150" s="44"/>
      <c r="R150" s="428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</row>
    <row r="151" spans="1:29" ht="13.8" thickBot="1" x14ac:dyDescent="0.3">
      <c r="A151" s="94"/>
      <c r="B151" s="223"/>
      <c r="C151" s="224"/>
      <c r="D151" s="485" t="s">
        <v>4325</v>
      </c>
      <c r="E151" s="55">
        <v>390</v>
      </c>
      <c r="F151" s="55">
        <v>389</v>
      </c>
      <c r="G151" s="55">
        <v>387</v>
      </c>
      <c r="H151" s="55"/>
      <c r="I151" s="62"/>
      <c r="J151" s="60"/>
      <c r="K151" s="96">
        <f t="shared" si="9"/>
        <v>1166</v>
      </c>
      <c r="L151" s="97">
        <f t="shared" ref="L151" si="10">+K150+K151</f>
        <v>2348</v>
      </c>
      <c r="M151" s="60">
        <v>57</v>
      </c>
      <c r="N151" s="63">
        <f t="shared" ref="N151" si="11">+L151/3000</f>
        <v>0.78300000000000003</v>
      </c>
      <c r="O151" s="421">
        <f>8394/3</f>
        <v>2798</v>
      </c>
      <c r="P151" s="107">
        <v>2236</v>
      </c>
      <c r="Q151" s="44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</row>
    <row r="152" spans="1:29" x14ac:dyDescent="0.25">
      <c r="A152" s="43">
        <v>42921</v>
      </c>
      <c r="B152" s="221" t="s">
        <v>1013</v>
      </c>
      <c r="C152" s="222" t="s">
        <v>1184</v>
      </c>
      <c r="D152" s="488" t="s">
        <v>4492</v>
      </c>
      <c r="E152" s="44">
        <v>389</v>
      </c>
      <c r="F152" s="44">
        <v>396</v>
      </c>
      <c r="G152" s="44">
        <v>396</v>
      </c>
      <c r="H152" s="44"/>
      <c r="I152" s="51"/>
      <c r="J152" s="49"/>
      <c r="K152" s="68">
        <f t="shared" si="6"/>
        <v>1181</v>
      </c>
      <c r="L152" s="69"/>
      <c r="M152" s="70">
        <v>28</v>
      </c>
      <c r="N152" s="52"/>
      <c r="O152" s="71"/>
      <c r="P152" s="106"/>
      <c r="Q152" s="44"/>
      <c r="R152" s="428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</row>
    <row r="153" spans="1:29" ht="13.8" thickBot="1" x14ac:dyDescent="0.3">
      <c r="A153" s="94"/>
      <c r="B153" s="223"/>
      <c r="C153" s="224"/>
      <c r="D153" s="485" t="s">
        <v>1983</v>
      </c>
      <c r="E153" s="55">
        <v>398</v>
      </c>
      <c r="F153" s="55">
        <v>395</v>
      </c>
      <c r="G153" s="55">
        <v>401</v>
      </c>
      <c r="H153" s="55"/>
      <c r="I153" s="62"/>
      <c r="J153" s="60"/>
      <c r="K153" s="96">
        <f t="shared" si="6"/>
        <v>1194</v>
      </c>
      <c r="L153" s="97">
        <f t="shared" ref="L153" si="12">+K152+K153</f>
        <v>2375</v>
      </c>
      <c r="M153" s="60">
        <v>55</v>
      </c>
      <c r="N153" s="63">
        <f t="shared" ref="N153" si="13">+L153/3000</f>
        <v>0.79200000000000004</v>
      </c>
      <c r="O153" s="421">
        <f>8354/3</f>
        <v>2785</v>
      </c>
      <c r="P153" s="107">
        <v>2249</v>
      </c>
      <c r="Q153" s="44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</row>
    <row r="154" spans="1:29" x14ac:dyDescent="0.25">
      <c r="A154" s="43">
        <v>42921</v>
      </c>
      <c r="B154" s="221" t="s">
        <v>1013</v>
      </c>
      <c r="C154" s="560" t="s">
        <v>1014</v>
      </c>
      <c r="D154" s="488" t="s">
        <v>4323</v>
      </c>
      <c r="E154" s="44">
        <v>400</v>
      </c>
      <c r="F154" s="44">
        <v>407</v>
      </c>
      <c r="G154" s="44">
        <v>410</v>
      </c>
      <c r="H154" s="44"/>
      <c r="I154" s="51"/>
      <c r="J154" s="49"/>
      <c r="K154" s="68">
        <f t="shared" ref="K154:K161" si="14">SUM(E154:J154)</f>
        <v>1217</v>
      </c>
      <c r="L154" s="69"/>
      <c r="M154" s="70">
        <v>19</v>
      </c>
      <c r="N154" s="52"/>
      <c r="O154" s="71"/>
      <c r="P154" s="106"/>
      <c r="Q154" s="44"/>
      <c r="R154" s="428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</row>
    <row r="155" spans="1:29" ht="13.8" thickBot="1" x14ac:dyDescent="0.3">
      <c r="A155" s="94"/>
      <c r="B155" s="223"/>
      <c r="C155" s="591" t="s">
        <v>4493</v>
      </c>
      <c r="D155" s="485" t="s">
        <v>4495</v>
      </c>
      <c r="E155" s="55">
        <v>401</v>
      </c>
      <c r="F155" s="55">
        <v>411</v>
      </c>
      <c r="G155" s="55">
        <v>409</v>
      </c>
      <c r="H155" s="55"/>
      <c r="I155" s="62"/>
      <c r="J155" s="60"/>
      <c r="K155" s="96">
        <f t="shared" si="14"/>
        <v>1221</v>
      </c>
      <c r="L155" s="97">
        <f t="shared" ref="L155" si="15">+K154+K155</f>
        <v>2438</v>
      </c>
      <c r="M155" s="60">
        <v>55</v>
      </c>
      <c r="N155" s="63">
        <f t="shared" ref="N155" si="16">+L155/3000</f>
        <v>0.81299999999999994</v>
      </c>
      <c r="O155" s="421">
        <f t="shared" ref="O155" si="17">8354/3</f>
        <v>2785</v>
      </c>
      <c r="P155" s="107">
        <v>2249</v>
      </c>
      <c r="Q155" s="44"/>
      <c r="R155" s="73"/>
      <c r="S155" s="73"/>
      <c r="T155" s="428"/>
      <c r="U155" s="73"/>
      <c r="V155" s="73"/>
      <c r="W155" s="73"/>
      <c r="X155" s="73"/>
      <c r="Y155" s="73"/>
      <c r="Z155" s="73"/>
      <c r="AA155" s="73"/>
      <c r="AB155" s="73"/>
      <c r="AC155" s="73"/>
    </row>
    <row r="156" spans="1:29" x14ac:dyDescent="0.25">
      <c r="A156" s="43">
        <v>42921</v>
      </c>
      <c r="B156" s="221" t="s">
        <v>1013</v>
      </c>
      <c r="C156" s="560" t="s">
        <v>1014</v>
      </c>
      <c r="D156" s="488" t="s">
        <v>4496</v>
      </c>
      <c r="E156" s="44">
        <v>411</v>
      </c>
      <c r="F156" s="44">
        <v>412</v>
      </c>
      <c r="G156" s="44">
        <v>411</v>
      </c>
      <c r="H156" s="44"/>
      <c r="I156" s="51"/>
      <c r="J156" s="49"/>
      <c r="K156" s="68">
        <f t="shared" ref="K156:K157" si="18">SUM(E156:J156)</f>
        <v>1234</v>
      </c>
      <c r="L156" s="69"/>
      <c r="M156" s="70">
        <v>19</v>
      </c>
      <c r="N156" s="52"/>
      <c r="O156" s="71"/>
      <c r="P156" s="106"/>
      <c r="Q156" s="44"/>
      <c r="R156" s="428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</row>
    <row r="157" spans="1:29" ht="13.8" thickBot="1" x14ac:dyDescent="0.3">
      <c r="A157" s="94"/>
      <c r="B157" s="223"/>
      <c r="C157" s="591" t="s">
        <v>4494</v>
      </c>
      <c r="D157" s="485" t="s">
        <v>4497</v>
      </c>
      <c r="E157" s="55">
        <v>403</v>
      </c>
      <c r="F157" s="55">
        <v>409</v>
      </c>
      <c r="G157" s="55">
        <v>409</v>
      </c>
      <c r="H157" s="55"/>
      <c r="I157" s="62"/>
      <c r="J157" s="60"/>
      <c r="K157" s="96">
        <f t="shared" si="18"/>
        <v>1221</v>
      </c>
      <c r="L157" s="97">
        <f t="shared" ref="L157" si="19">+K156+K157</f>
        <v>2455</v>
      </c>
      <c r="M157" s="60">
        <v>55</v>
      </c>
      <c r="N157" s="63">
        <f t="shared" ref="N157" si="20">+L157/3000</f>
        <v>0.81799999999999995</v>
      </c>
      <c r="O157" s="421">
        <f t="shared" ref="O157" si="21">8354/3</f>
        <v>2785</v>
      </c>
      <c r="P157" s="107">
        <v>2249</v>
      </c>
      <c r="Q157" s="44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</row>
    <row r="158" spans="1:29" x14ac:dyDescent="0.25">
      <c r="A158" s="43">
        <v>43284</v>
      </c>
      <c r="B158" s="221" t="s">
        <v>2320</v>
      </c>
      <c r="C158" s="222" t="s">
        <v>2857</v>
      </c>
      <c r="D158" s="488" t="s">
        <v>4609</v>
      </c>
      <c r="E158" s="44">
        <v>385</v>
      </c>
      <c r="F158" s="44">
        <v>387</v>
      </c>
      <c r="G158" s="44">
        <v>385</v>
      </c>
      <c r="H158" s="44"/>
      <c r="I158" s="51"/>
      <c r="J158" s="49"/>
      <c r="K158" s="68">
        <f t="shared" si="14"/>
        <v>1157</v>
      </c>
      <c r="L158" s="69"/>
      <c r="M158" s="70">
        <v>44</v>
      </c>
      <c r="N158" s="52"/>
      <c r="O158" s="71"/>
      <c r="P158" s="106"/>
      <c r="Q158" s="44"/>
      <c r="R158" s="428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</row>
    <row r="159" spans="1:29" ht="13.8" thickBot="1" x14ac:dyDescent="0.3">
      <c r="A159" s="94"/>
      <c r="B159" s="223"/>
      <c r="C159" s="224"/>
      <c r="D159" s="485" t="s">
        <v>4325</v>
      </c>
      <c r="E159" s="55">
        <v>383</v>
      </c>
      <c r="F159" s="55">
        <v>385</v>
      </c>
      <c r="G159" s="55">
        <v>384</v>
      </c>
      <c r="H159" s="55"/>
      <c r="I159" s="62"/>
      <c r="J159" s="60"/>
      <c r="K159" s="96">
        <f t="shared" si="14"/>
        <v>1152</v>
      </c>
      <c r="L159" s="97">
        <f t="shared" ref="L159" si="22">+K158+K159</f>
        <v>2309</v>
      </c>
      <c r="M159" s="60">
        <v>51</v>
      </c>
      <c r="N159" s="63">
        <f t="shared" ref="N159" si="23">+L159/3000</f>
        <v>0.77</v>
      </c>
      <c r="O159" s="421">
        <v>2841</v>
      </c>
      <c r="P159" s="107">
        <v>2231</v>
      </c>
      <c r="Q159" s="44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</row>
    <row r="160" spans="1:29" x14ac:dyDescent="0.25">
      <c r="A160" s="43">
        <v>43648</v>
      </c>
      <c r="B160" s="221" t="s">
        <v>1988</v>
      </c>
      <c r="C160" s="222" t="s">
        <v>1184</v>
      </c>
      <c r="D160" s="488" t="s">
        <v>4765</v>
      </c>
      <c r="E160" s="44">
        <f>500*0.834</f>
        <v>417</v>
      </c>
      <c r="F160" s="44">
        <f>500*0.788</f>
        <v>394</v>
      </c>
      <c r="G160" s="44">
        <f>500*0.838</f>
        <v>419</v>
      </c>
      <c r="H160" s="44"/>
      <c r="I160" s="51"/>
      <c r="J160" s="49"/>
      <c r="K160" s="68">
        <f t="shared" si="14"/>
        <v>1230</v>
      </c>
      <c r="L160" s="69"/>
      <c r="M160" s="70">
        <v>22</v>
      </c>
      <c r="N160" s="52"/>
      <c r="O160" s="71"/>
      <c r="P160" s="106"/>
      <c r="Q160" s="44"/>
      <c r="R160" s="428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</row>
    <row r="161" spans="1:29" ht="13.8" thickBot="1" x14ac:dyDescent="0.3">
      <c r="A161" s="94"/>
      <c r="B161" s="223"/>
      <c r="C161" s="224"/>
      <c r="D161" s="485" t="s">
        <v>4764</v>
      </c>
      <c r="E161" s="55">
        <f>500*0.838</f>
        <v>419</v>
      </c>
      <c r="F161" s="55">
        <f>500*0.792</f>
        <v>396</v>
      </c>
      <c r="G161" s="55">
        <f>500*0.842</f>
        <v>421</v>
      </c>
      <c r="H161" s="55"/>
      <c r="I161" s="62"/>
      <c r="J161" s="60"/>
      <c r="K161" s="96">
        <f t="shared" si="14"/>
        <v>1236</v>
      </c>
      <c r="L161" s="97">
        <f t="shared" ref="L161" si="24">+K160+K161</f>
        <v>2466</v>
      </c>
      <c r="M161" s="60">
        <v>57</v>
      </c>
      <c r="N161" s="63">
        <f t="shared" ref="N161" si="25">+L161/3000</f>
        <v>0.82199999999999995</v>
      </c>
      <c r="O161" s="421">
        <f>3000*0.938</f>
        <v>2814</v>
      </c>
      <c r="P161" s="107">
        <f>3000*0.754</f>
        <v>2262</v>
      </c>
      <c r="Q161" s="44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</row>
    <row r="162" spans="1:29" x14ac:dyDescent="0.25">
      <c r="A162" s="100"/>
      <c r="B162" s="225"/>
      <c r="C162" s="489" t="s">
        <v>1017</v>
      </c>
      <c r="D162" s="73"/>
      <c r="E162" s="42"/>
      <c r="F162" s="42"/>
      <c r="G162" s="42"/>
      <c r="H162" s="42"/>
      <c r="I162" s="104" t="s">
        <v>3025</v>
      </c>
      <c r="J162" s="42"/>
      <c r="K162" s="73"/>
      <c r="L162" s="73"/>
      <c r="M162" s="42"/>
      <c r="N162" s="102"/>
      <c r="O162" s="103"/>
      <c r="P162" s="103"/>
      <c r="Q162" s="44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</row>
    <row r="163" spans="1:29" x14ac:dyDescent="0.25">
      <c r="A163" s="100"/>
      <c r="B163" s="225"/>
      <c r="C163" s="489"/>
      <c r="D163" s="73"/>
      <c r="E163" s="42"/>
      <c r="F163" s="42"/>
      <c r="G163" s="42"/>
      <c r="H163" s="42"/>
      <c r="I163" s="104"/>
      <c r="J163" s="42"/>
      <c r="K163" s="73"/>
      <c r="L163" s="73"/>
      <c r="M163" s="42"/>
      <c r="N163" s="102"/>
      <c r="O163" s="103"/>
      <c r="P163" s="103"/>
      <c r="Q163" s="44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</row>
    <row r="164" spans="1:29" x14ac:dyDescent="0.25">
      <c r="A164" s="100"/>
      <c r="B164" s="225"/>
      <c r="C164" s="489"/>
      <c r="D164" s="73"/>
      <c r="E164" s="42"/>
      <c r="F164" s="42"/>
      <c r="G164" s="42"/>
      <c r="H164" s="42"/>
      <c r="I164" s="104"/>
      <c r="J164" s="42"/>
      <c r="K164" s="73"/>
      <c r="L164" s="73"/>
      <c r="M164" s="42"/>
      <c r="N164" s="102"/>
      <c r="O164" s="103"/>
      <c r="P164" s="103"/>
      <c r="Q164" s="44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</row>
    <row r="165" spans="1:29" x14ac:dyDescent="0.25">
      <c r="A165" s="100"/>
      <c r="B165" s="225"/>
      <c r="C165" s="489"/>
      <c r="D165" s="73"/>
      <c r="E165" s="42"/>
      <c r="F165" s="42"/>
      <c r="G165" s="42"/>
      <c r="H165" s="42"/>
      <c r="I165" s="104"/>
      <c r="J165" s="42"/>
      <c r="K165" s="73"/>
      <c r="L165" s="73"/>
      <c r="M165" s="42"/>
      <c r="N165" s="102"/>
      <c r="O165" s="103"/>
      <c r="P165" s="103"/>
      <c r="Q165" s="44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</row>
    <row r="166" spans="1:29" x14ac:dyDescent="0.25">
      <c r="A166" s="100"/>
      <c r="B166" s="225"/>
      <c r="C166" s="489"/>
      <c r="D166" s="73"/>
      <c r="E166" s="42"/>
      <c r="F166" s="42"/>
      <c r="G166" s="42"/>
      <c r="H166" s="42"/>
      <c r="I166" s="104"/>
      <c r="J166" s="42"/>
      <c r="K166" s="73"/>
      <c r="L166" s="73"/>
      <c r="M166" s="42"/>
      <c r="N166" s="102"/>
      <c r="O166" s="103"/>
      <c r="P166" s="103"/>
      <c r="Q166" s="44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</row>
    <row r="167" spans="1:29" x14ac:dyDescent="0.25">
      <c r="A167" s="100"/>
      <c r="B167" s="225"/>
      <c r="C167" s="489"/>
      <c r="D167" s="73"/>
      <c r="E167" s="42"/>
      <c r="F167" s="42"/>
      <c r="G167" s="42"/>
      <c r="H167" s="42"/>
      <c r="I167" s="104"/>
      <c r="J167" s="42"/>
      <c r="K167" s="73"/>
      <c r="L167" s="73"/>
      <c r="M167" s="42"/>
      <c r="N167" s="102"/>
      <c r="O167" s="103"/>
      <c r="P167" s="103"/>
      <c r="Q167" s="44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</row>
    <row r="168" spans="1:29" x14ac:dyDescent="0.25">
      <c r="A168" s="100"/>
      <c r="B168" s="225"/>
      <c r="C168" s="489"/>
      <c r="D168" s="73"/>
      <c r="E168" s="42"/>
      <c r="F168" s="42"/>
      <c r="G168" s="42"/>
      <c r="H168" s="42"/>
      <c r="I168" s="104"/>
      <c r="J168" s="42"/>
      <c r="K168" s="73"/>
      <c r="L168" s="73"/>
      <c r="M168" s="42"/>
      <c r="N168" s="102"/>
      <c r="O168" s="103"/>
      <c r="P168" s="103"/>
      <c r="Q168" s="44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</row>
    <row r="169" spans="1:29" x14ac:dyDescent="0.25">
      <c r="A169" s="100"/>
      <c r="B169" s="225"/>
      <c r="C169" s="489"/>
      <c r="D169" s="73"/>
      <c r="E169" s="42"/>
      <c r="F169" s="42"/>
      <c r="G169" s="42"/>
      <c r="H169" s="42"/>
      <c r="I169" s="104"/>
      <c r="J169" s="42"/>
      <c r="K169" s="73"/>
      <c r="L169" s="73"/>
      <c r="M169" s="42"/>
      <c r="N169" s="102"/>
      <c r="O169" s="103"/>
      <c r="P169" s="103"/>
      <c r="Q169" s="44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</row>
    <row r="170" spans="1:29" x14ac:dyDescent="0.25">
      <c r="A170" s="100"/>
      <c r="B170" s="225"/>
      <c r="C170" s="489"/>
      <c r="D170" s="73"/>
      <c r="E170" s="42"/>
      <c r="F170" s="42"/>
      <c r="G170" s="42"/>
      <c r="H170" s="42"/>
      <c r="I170" s="104"/>
      <c r="J170" s="42"/>
      <c r="K170" s="73"/>
      <c r="L170" s="73"/>
      <c r="M170" s="42"/>
      <c r="N170" s="102"/>
      <c r="O170" s="103"/>
      <c r="P170" s="103"/>
      <c r="Q170" s="44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</row>
    <row r="171" spans="1:29" x14ac:dyDescent="0.25">
      <c r="A171" s="100"/>
      <c r="B171" s="225"/>
      <c r="C171" s="489"/>
      <c r="D171" s="73"/>
      <c r="E171" s="42"/>
      <c r="F171" s="42"/>
      <c r="G171" s="42"/>
      <c r="H171" s="42"/>
      <c r="I171" s="104"/>
      <c r="J171" s="42"/>
      <c r="K171" s="73"/>
      <c r="L171" s="73"/>
      <c r="M171" s="42"/>
      <c r="N171" s="102"/>
      <c r="O171" s="103"/>
      <c r="P171" s="103"/>
      <c r="Q171" s="44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</row>
    <row r="172" spans="1:29" x14ac:dyDescent="0.25">
      <c r="A172" s="100"/>
      <c r="B172" s="225"/>
      <c r="C172" s="489"/>
      <c r="D172" s="73"/>
      <c r="E172" s="42"/>
      <c r="F172" s="42"/>
      <c r="G172" s="42"/>
      <c r="H172" s="42"/>
      <c r="I172" s="104"/>
      <c r="J172" s="42"/>
      <c r="K172" s="73"/>
      <c r="L172" s="73"/>
      <c r="M172" s="42"/>
      <c r="N172" s="102"/>
      <c r="O172" s="103"/>
      <c r="P172" s="103"/>
      <c r="Q172" s="44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</row>
    <row r="173" spans="1:29" x14ac:dyDescent="0.25">
      <c r="A173" s="100"/>
      <c r="B173" s="225"/>
      <c r="C173" s="489"/>
      <c r="D173" s="73"/>
      <c r="E173" s="42"/>
      <c r="F173" s="42"/>
      <c r="G173" s="42"/>
      <c r="H173" s="42"/>
      <c r="I173" s="104"/>
      <c r="J173" s="42"/>
      <c r="K173" s="73"/>
      <c r="L173" s="73"/>
      <c r="M173" s="42"/>
      <c r="N173" s="102"/>
      <c r="O173" s="103"/>
      <c r="P173" s="103"/>
      <c r="Q173" s="44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</row>
    <row r="174" spans="1:29" x14ac:dyDescent="0.25">
      <c r="A174" s="100"/>
      <c r="B174" s="225"/>
      <c r="C174" s="225"/>
      <c r="D174" s="73"/>
      <c r="E174" s="42"/>
      <c r="F174" s="42"/>
      <c r="G174" s="42"/>
      <c r="H174" s="42"/>
      <c r="I174" s="104"/>
      <c r="J174" s="42"/>
      <c r="K174" s="73"/>
      <c r="L174" s="73"/>
      <c r="M174" s="42"/>
      <c r="N174" s="102"/>
      <c r="O174" s="103"/>
      <c r="P174" s="103"/>
      <c r="Q174" s="44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</row>
    <row r="175" spans="1:29" x14ac:dyDescent="0.25">
      <c r="A175" s="100"/>
      <c r="B175" s="225"/>
      <c r="C175" s="225"/>
      <c r="D175" s="73"/>
      <c r="E175" s="42"/>
      <c r="F175" s="42"/>
      <c r="G175" s="42"/>
      <c r="H175" s="42"/>
      <c r="I175" s="104"/>
      <c r="J175" s="42"/>
      <c r="K175" s="73"/>
      <c r="L175" s="73"/>
      <c r="M175" s="42"/>
      <c r="N175" s="102"/>
      <c r="O175" s="103"/>
      <c r="P175" s="103"/>
      <c r="Q175" s="44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</row>
    <row r="176" spans="1:29" ht="13.8" thickBot="1" x14ac:dyDescent="0.3">
      <c r="A176" s="100"/>
      <c r="B176" s="225"/>
      <c r="C176" s="225"/>
      <c r="D176" s="73"/>
      <c r="E176" s="42"/>
      <c r="F176" s="42"/>
      <c r="G176" s="42"/>
      <c r="H176" s="42"/>
      <c r="I176" s="104"/>
      <c r="J176" s="42"/>
      <c r="K176" s="73"/>
      <c r="L176" s="73"/>
      <c r="M176" s="42"/>
      <c r="N176" s="102"/>
      <c r="O176" s="103"/>
      <c r="P176" s="103"/>
      <c r="Q176" s="44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</row>
    <row r="177" spans="1:256" x14ac:dyDescent="0.25">
      <c r="A177" s="34"/>
      <c r="B177" s="226"/>
      <c r="C177" s="226" t="s">
        <v>3696</v>
      </c>
      <c r="D177" s="226" t="s">
        <v>4714</v>
      </c>
      <c r="E177" s="37"/>
      <c r="F177" s="35"/>
      <c r="G177" s="35"/>
      <c r="H177" s="35"/>
      <c r="I177" s="38"/>
      <c r="J177" s="36"/>
      <c r="K177" s="37" t="s">
        <v>2980</v>
      </c>
      <c r="L177" s="38"/>
      <c r="M177" s="36" t="s">
        <v>2981</v>
      </c>
      <c r="N177" s="39"/>
      <c r="O177" s="40" t="s">
        <v>2982</v>
      </c>
      <c r="P177" s="105" t="s">
        <v>2983</v>
      </c>
      <c r="Q177" s="44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</row>
    <row r="178" spans="1:256" x14ac:dyDescent="0.25">
      <c r="A178" s="43" t="s">
        <v>2012</v>
      </c>
      <c r="B178" s="221" t="s">
        <v>2984</v>
      </c>
      <c r="C178" s="222" t="s">
        <v>3697</v>
      </c>
      <c r="D178" s="222" t="s">
        <v>4715</v>
      </c>
      <c r="E178" s="44" t="s">
        <v>2992</v>
      </c>
      <c r="F178" s="44" t="s">
        <v>329</v>
      </c>
      <c r="G178" s="44" t="s">
        <v>330</v>
      </c>
      <c r="H178" s="44"/>
      <c r="I178" s="51"/>
      <c r="J178" s="51"/>
      <c r="K178" s="50" t="s">
        <v>2987</v>
      </c>
      <c r="L178" s="51" t="s">
        <v>2987</v>
      </c>
      <c r="M178" s="49"/>
      <c r="N178" s="52" t="s">
        <v>2988</v>
      </c>
      <c r="O178" s="53" t="s">
        <v>2989</v>
      </c>
      <c r="P178" s="106" t="s">
        <v>2989</v>
      </c>
      <c r="Q178" s="44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</row>
    <row r="179" spans="1:256" ht="13.8" thickBot="1" x14ac:dyDescent="0.3">
      <c r="A179" s="94"/>
      <c r="B179" s="223"/>
      <c r="C179" s="223"/>
      <c r="D179" s="616" t="s">
        <v>4713</v>
      </c>
      <c r="E179" s="61"/>
      <c r="F179" s="55"/>
      <c r="G179" s="55"/>
      <c r="H179" s="55"/>
      <c r="I179" s="62"/>
      <c r="J179" s="60"/>
      <c r="K179" s="61"/>
      <c r="L179" s="62"/>
      <c r="M179" s="60"/>
      <c r="N179" s="63"/>
      <c r="O179" s="64" t="s">
        <v>3027</v>
      </c>
      <c r="P179" s="107"/>
      <c r="Q179" s="44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</row>
    <row r="180" spans="1:256" ht="15.6" x14ac:dyDescent="0.3">
      <c r="A180" s="82">
        <v>39634</v>
      </c>
      <c r="B180" s="217" t="s">
        <v>123</v>
      </c>
      <c r="C180" s="491" t="s">
        <v>3598</v>
      </c>
      <c r="D180" s="85" t="s">
        <v>3698</v>
      </c>
      <c r="E180" s="83">
        <v>143</v>
      </c>
      <c r="F180" s="83">
        <v>137</v>
      </c>
      <c r="G180" s="83">
        <v>145</v>
      </c>
      <c r="H180" s="83"/>
      <c r="I180" s="84"/>
      <c r="J180" s="86"/>
      <c r="K180" s="87">
        <f t="shared" ref="K180:K189" si="26">SUM(E180:J180)</f>
        <v>425</v>
      </c>
      <c r="L180" s="88"/>
      <c r="M180" s="93">
        <v>11</v>
      </c>
      <c r="N180" s="89"/>
      <c r="O180" s="90"/>
      <c r="P180" s="113"/>
      <c r="Q180" s="44"/>
      <c r="R180" s="428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</row>
    <row r="181" spans="1:256" ht="13.8" thickBot="1" x14ac:dyDescent="0.3">
      <c r="A181" s="94"/>
      <c r="B181" s="223"/>
      <c r="C181" s="224"/>
      <c r="D181" s="95" t="s">
        <v>3699</v>
      </c>
      <c r="E181" s="55">
        <v>136</v>
      </c>
      <c r="F181" s="55">
        <v>139</v>
      </c>
      <c r="G181" s="55">
        <v>145</v>
      </c>
      <c r="H181" s="55"/>
      <c r="I181" s="62"/>
      <c r="J181" s="60"/>
      <c r="K181" s="96">
        <f t="shared" si="26"/>
        <v>420</v>
      </c>
      <c r="L181" s="97">
        <f>+K180+K181</f>
        <v>845</v>
      </c>
      <c r="M181" s="60">
        <v>22</v>
      </c>
      <c r="N181" s="63">
        <f>+L181/1200</f>
        <v>0.70399999999999996</v>
      </c>
      <c r="O181" s="98">
        <v>998</v>
      </c>
      <c r="P181" s="107">
        <v>713</v>
      </c>
      <c r="Q181" s="44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</row>
    <row r="182" spans="1:256" s="160" customFormat="1" ht="15.6" x14ac:dyDescent="0.3">
      <c r="A182" s="34">
        <v>39998</v>
      </c>
      <c r="B182" s="226" t="s">
        <v>116</v>
      </c>
      <c r="C182" s="490" t="s">
        <v>3598</v>
      </c>
      <c r="D182" s="108" t="s">
        <v>354</v>
      </c>
      <c r="E182" s="35">
        <v>150</v>
      </c>
      <c r="F182" s="35">
        <v>158</v>
      </c>
      <c r="G182" s="35">
        <v>151</v>
      </c>
      <c r="H182" s="35"/>
      <c r="I182" s="38"/>
      <c r="J182" s="36"/>
      <c r="K182" s="109">
        <f t="shared" si="26"/>
        <v>459</v>
      </c>
      <c r="L182" s="110"/>
      <c r="M182" s="111">
        <v>12</v>
      </c>
      <c r="N182" s="39"/>
      <c r="O182" s="112"/>
      <c r="P182" s="105"/>
      <c r="Q182" s="122"/>
      <c r="R182" s="428"/>
      <c r="S182" s="221"/>
      <c r="T182" s="68"/>
      <c r="U182" s="44"/>
      <c r="V182" s="44"/>
      <c r="W182" s="44"/>
      <c r="X182" s="44"/>
      <c r="Y182" s="44"/>
      <c r="Z182" s="44"/>
      <c r="AA182" s="68"/>
      <c r="AB182" s="68"/>
      <c r="AC182" s="121"/>
      <c r="AD182" s="118"/>
      <c r="AE182" s="71"/>
      <c r="AF182" s="71"/>
      <c r="AG182" s="122"/>
      <c r="AH182" s="221"/>
      <c r="AI182" s="221"/>
      <c r="AJ182" s="68"/>
      <c r="AK182" s="44"/>
      <c r="AL182" s="44"/>
      <c r="AM182" s="44"/>
      <c r="AN182" s="44"/>
      <c r="AO182" s="44"/>
      <c r="AP182" s="44"/>
      <c r="AQ182" s="68"/>
      <c r="AR182" s="68"/>
      <c r="AS182" s="121"/>
      <c r="AT182" s="118"/>
      <c r="AU182" s="71"/>
      <c r="AV182" s="71"/>
      <c r="AW182" s="122"/>
      <c r="AX182" s="221"/>
      <c r="AY182" s="221"/>
      <c r="AZ182" s="68"/>
      <c r="BA182" s="44"/>
      <c r="BB182" s="44"/>
      <c r="BC182" s="44"/>
      <c r="BD182" s="44"/>
      <c r="BE182" s="44"/>
      <c r="BF182" s="44"/>
      <c r="BG182" s="68"/>
      <c r="BH182" s="68"/>
      <c r="BI182" s="121"/>
      <c r="BJ182" s="118"/>
      <c r="BK182" s="71"/>
      <c r="BL182" s="71"/>
      <c r="BM182" s="122"/>
      <c r="BN182" s="221"/>
      <c r="BO182" s="221"/>
      <c r="BP182" s="68"/>
      <c r="BQ182" s="44"/>
      <c r="BR182" s="44"/>
      <c r="BS182" s="44"/>
      <c r="BT182" s="44"/>
      <c r="BU182" s="44"/>
      <c r="BV182" s="44"/>
      <c r="BW182" s="68"/>
      <c r="BX182" s="68"/>
      <c r="BY182" s="121"/>
      <c r="BZ182" s="118"/>
      <c r="CA182" s="71"/>
      <c r="CB182" s="71"/>
      <c r="CC182" s="122"/>
      <c r="CD182" s="221"/>
      <c r="CE182" s="221"/>
      <c r="CF182" s="68"/>
      <c r="CG182" s="44"/>
      <c r="CH182" s="44"/>
      <c r="CI182" s="44"/>
      <c r="CJ182" s="44"/>
      <c r="CK182" s="44"/>
      <c r="CL182" s="44"/>
      <c r="CM182" s="68"/>
      <c r="CN182" s="68"/>
      <c r="CO182" s="121"/>
      <c r="CP182" s="118"/>
      <c r="CQ182" s="71"/>
      <c r="CR182" s="71"/>
      <c r="CS182" s="122"/>
      <c r="CT182" s="221"/>
      <c r="CU182" s="221"/>
      <c r="CV182" s="68"/>
      <c r="CW182" s="44"/>
      <c r="CX182" s="44"/>
      <c r="CY182" s="44"/>
      <c r="CZ182" s="44"/>
      <c r="DA182" s="44"/>
      <c r="DB182" s="44"/>
      <c r="DC182" s="68"/>
      <c r="DD182" s="68"/>
      <c r="DE182" s="121"/>
      <c r="DF182" s="118"/>
      <c r="DG182" s="71"/>
      <c r="DH182" s="71"/>
      <c r="DI182" s="122"/>
      <c r="DJ182" s="221"/>
      <c r="DK182" s="221"/>
      <c r="DL182" s="68"/>
      <c r="DM182" s="44"/>
      <c r="DN182" s="44"/>
      <c r="DO182" s="44"/>
      <c r="DP182" s="44"/>
      <c r="DQ182" s="44"/>
      <c r="DR182" s="44"/>
      <c r="DS182" s="68"/>
      <c r="DT182" s="68"/>
      <c r="DU182" s="121"/>
      <c r="DV182" s="118"/>
      <c r="DW182" s="71"/>
      <c r="DX182" s="71"/>
      <c r="DY182" s="122"/>
      <c r="DZ182" s="221"/>
      <c r="EA182" s="221"/>
      <c r="EB182" s="68"/>
      <c r="EC182" s="44"/>
      <c r="ED182" s="44"/>
      <c r="EE182" s="44"/>
      <c r="EF182" s="44"/>
      <c r="EG182" s="44"/>
      <c r="EH182" s="44"/>
      <c r="EI182" s="68"/>
      <c r="EJ182" s="68"/>
      <c r="EK182" s="121"/>
      <c r="EL182" s="118"/>
      <c r="EM182" s="71"/>
      <c r="EN182" s="71"/>
      <c r="EO182" s="122"/>
      <c r="EP182" s="221"/>
      <c r="EQ182" s="221"/>
      <c r="ER182" s="68"/>
      <c r="ES182" s="44"/>
      <c r="ET182" s="44"/>
      <c r="EU182" s="44"/>
      <c r="EV182" s="44"/>
      <c r="EW182" s="44"/>
      <c r="EX182" s="44"/>
      <c r="EY182" s="68"/>
      <c r="EZ182" s="68"/>
      <c r="FA182" s="121"/>
      <c r="FB182" s="118"/>
      <c r="FC182" s="71"/>
      <c r="FD182" s="71"/>
      <c r="FE182" s="122"/>
      <c r="FF182" s="221"/>
      <c r="FG182" s="221"/>
      <c r="FH182" s="68"/>
      <c r="FI182" s="44"/>
      <c r="FJ182" s="44"/>
      <c r="FK182" s="44"/>
      <c r="FL182" s="44"/>
      <c r="FM182" s="44"/>
      <c r="FN182" s="44"/>
      <c r="FO182" s="68"/>
      <c r="FP182" s="68"/>
      <c r="FQ182" s="121"/>
      <c r="FR182" s="118"/>
      <c r="FS182" s="71"/>
      <c r="FT182" s="71"/>
      <c r="FU182" s="122"/>
      <c r="FV182" s="221"/>
      <c r="FW182" s="221"/>
      <c r="FX182" s="68"/>
      <c r="FY182" s="44"/>
      <c r="FZ182" s="44"/>
      <c r="GA182" s="44"/>
      <c r="GB182" s="44"/>
      <c r="GC182" s="44"/>
      <c r="GD182" s="44"/>
      <c r="GE182" s="68"/>
      <c r="GF182" s="68"/>
      <c r="GG182" s="121"/>
      <c r="GH182" s="118"/>
      <c r="GI182" s="71"/>
      <c r="GJ182" s="71"/>
      <c r="GK182" s="122"/>
      <c r="GL182" s="221"/>
      <c r="GM182" s="221"/>
      <c r="GN182" s="68"/>
      <c r="GO182" s="44"/>
      <c r="GP182" s="44"/>
      <c r="GQ182" s="44"/>
      <c r="GR182" s="44"/>
      <c r="GS182" s="44"/>
      <c r="GT182" s="44"/>
      <c r="GU182" s="68"/>
      <c r="GV182" s="68"/>
      <c r="GW182" s="121"/>
      <c r="GX182" s="118"/>
      <c r="GY182" s="71"/>
      <c r="GZ182" s="71"/>
      <c r="HA182" s="122"/>
      <c r="HB182" s="221"/>
      <c r="HC182" s="221"/>
      <c r="HD182" s="68"/>
      <c r="HE182" s="44"/>
      <c r="HF182" s="44"/>
      <c r="HG182" s="44"/>
      <c r="HH182" s="44"/>
      <c r="HI182" s="44"/>
      <c r="HJ182" s="44"/>
      <c r="HK182" s="68"/>
      <c r="HL182" s="68"/>
      <c r="HM182" s="121"/>
      <c r="HN182" s="118"/>
      <c r="HO182" s="71"/>
      <c r="HP182" s="71"/>
      <c r="HQ182" s="122"/>
      <c r="HR182" s="221"/>
      <c r="HS182" s="221"/>
      <c r="HT182" s="68"/>
      <c r="HU182" s="44"/>
      <c r="HV182" s="44"/>
      <c r="HW182" s="44"/>
      <c r="HX182" s="44"/>
      <c r="HY182" s="44"/>
      <c r="HZ182" s="44"/>
      <c r="IA182" s="68"/>
      <c r="IB182" s="68"/>
      <c r="IC182" s="121"/>
      <c r="ID182" s="118"/>
      <c r="IE182" s="71"/>
      <c r="IF182" s="71"/>
      <c r="IG182" s="122"/>
      <c r="IH182" s="221"/>
      <c r="II182" s="221"/>
      <c r="IJ182" s="68"/>
      <c r="IK182" s="44"/>
      <c r="IL182" s="44"/>
      <c r="IM182" s="44"/>
      <c r="IN182" s="44"/>
      <c r="IO182" s="44"/>
      <c r="IP182" s="44"/>
      <c r="IQ182" s="68"/>
      <c r="IR182" s="68"/>
      <c r="IS182" s="121"/>
      <c r="IT182" s="118"/>
      <c r="IU182" s="71"/>
      <c r="IV182" s="71"/>
    </row>
    <row r="183" spans="1:256" s="160" customFormat="1" ht="13.8" thickBot="1" x14ac:dyDescent="0.3">
      <c r="A183" s="94"/>
      <c r="B183" s="223"/>
      <c r="C183" s="224"/>
      <c r="D183" s="95" t="s">
        <v>4294</v>
      </c>
      <c r="E183" s="55">
        <v>152</v>
      </c>
      <c r="F183" s="55">
        <v>156</v>
      </c>
      <c r="G183" s="55">
        <v>156</v>
      </c>
      <c r="H183" s="55"/>
      <c r="I183" s="62"/>
      <c r="J183" s="60"/>
      <c r="K183" s="96">
        <f t="shared" si="26"/>
        <v>464</v>
      </c>
      <c r="L183" s="97">
        <f>+K182+K183</f>
        <v>923</v>
      </c>
      <c r="M183" s="60">
        <v>26</v>
      </c>
      <c r="N183" s="63">
        <f>+L183/1200</f>
        <v>0.76900000000000002</v>
      </c>
      <c r="O183" s="98">
        <v>989</v>
      </c>
      <c r="P183" s="107">
        <v>779</v>
      </c>
      <c r="Q183" s="122"/>
      <c r="R183" s="221"/>
      <c r="S183" s="221"/>
      <c r="T183" s="68"/>
      <c r="U183" s="44"/>
      <c r="V183" s="44"/>
      <c r="W183" s="44"/>
      <c r="X183" s="44"/>
      <c r="Y183" s="44"/>
      <c r="Z183" s="44"/>
      <c r="AA183" s="68"/>
      <c r="AB183" s="68"/>
      <c r="AC183" s="44"/>
      <c r="AD183" s="118"/>
      <c r="AE183" s="71"/>
      <c r="AF183" s="71"/>
      <c r="AG183" s="122"/>
      <c r="AH183" s="221"/>
      <c r="AI183" s="221"/>
      <c r="AJ183" s="68"/>
      <c r="AK183" s="44"/>
      <c r="AL183" s="44"/>
      <c r="AM183" s="44"/>
      <c r="AN183" s="44"/>
      <c r="AO183" s="44"/>
      <c r="AP183" s="44"/>
      <c r="AQ183" s="68"/>
      <c r="AR183" s="68"/>
      <c r="AS183" s="44"/>
      <c r="AT183" s="118"/>
      <c r="AU183" s="71"/>
      <c r="AV183" s="71"/>
      <c r="AW183" s="122"/>
      <c r="AX183" s="221"/>
      <c r="AY183" s="221"/>
      <c r="AZ183" s="68"/>
      <c r="BA183" s="44"/>
      <c r="BB183" s="44"/>
      <c r="BC183" s="44"/>
      <c r="BD183" s="44"/>
      <c r="BE183" s="44"/>
      <c r="BF183" s="44"/>
      <c r="BG183" s="68"/>
      <c r="BH183" s="68"/>
      <c r="BI183" s="44"/>
      <c r="BJ183" s="118"/>
      <c r="BK183" s="71"/>
      <c r="BL183" s="71"/>
      <c r="BM183" s="122"/>
      <c r="BN183" s="221"/>
      <c r="BO183" s="221"/>
      <c r="BP183" s="68"/>
      <c r="BQ183" s="44"/>
      <c r="BR183" s="44"/>
      <c r="BS183" s="44"/>
      <c r="BT183" s="44"/>
      <c r="BU183" s="44"/>
      <c r="BV183" s="44"/>
      <c r="BW183" s="68"/>
      <c r="BX183" s="68"/>
      <c r="BY183" s="44"/>
      <c r="BZ183" s="118"/>
      <c r="CA183" s="71"/>
      <c r="CB183" s="71"/>
      <c r="CC183" s="122"/>
      <c r="CD183" s="221"/>
      <c r="CE183" s="221"/>
      <c r="CF183" s="68"/>
      <c r="CG183" s="44"/>
      <c r="CH183" s="44"/>
      <c r="CI183" s="44"/>
      <c r="CJ183" s="44"/>
      <c r="CK183" s="44"/>
      <c r="CL183" s="44"/>
      <c r="CM183" s="68"/>
      <c r="CN183" s="68"/>
      <c r="CO183" s="44"/>
      <c r="CP183" s="118"/>
      <c r="CQ183" s="71"/>
      <c r="CR183" s="71"/>
      <c r="CS183" s="122"/>
      <c r="CT183" s="221"/>
      <c r="CU183" s="221"/>
      <c r="CV183" s="68"/>
      <c r="CW183" s="44"/>
      <c r="CX183" s="44"/>
      <c r="CY183" s="44"/>
      <c r="CZ183" s="44"/>
      <c r="DA183" s="44"/>
      <c r="DB183" s="44"/>
      <c r="DC183" s="68"/>
      <c r="DD183" s="68"/>
      <c r="DE183" s="44"/>
      <c r="DF183" s="118"/>
      <c r="DG183" s="71"/>
      <c r="DH183" s="71"/>
      <c r="DI183" s="122"/>
      <c r="DJ183" s="221"/>
      <c r="DK183" s="221"/>
      <c r="DL183" s="68"/>
      <c r="DM183" s="44"/>
      <c r="DN183" s="44"/>
      <c r="DO183" s="44"/>
      <c r="DP183" s="44"/>
      <c r="DQ183" s="44"/>
      <c r="DR183" s="44"/>
      <c r="DS183" s="68"/>
      <c r="DT183" s="68"/>
      <c r="DU183" s="44"/>
      <c r="DV183" s="118"/>
      <c r="DW183" s="71"/>
      <c r="DX183" s="71"/>
      <c r="DY183" s="122"/>
      <c r="DZ183" s="221"/>
      <c r="EA183" s="221"/>
      <c r="EB183" s="68"/>
      <c r="EC183" s="44"/>
      <c r="ED183" s="44"/>
      <c r="EE183" s="44"/>
      <c r="EF183" s="44"/>
      <c r="EG183" s="44"/>
      <c r="EH183" s="44"/>
      <c r="EI183" s="68"/>
      <c r="EJ183" s="68"/>
      <c r="EK183" s="44"/>
      <c r="EL183" s="118"/>
      <c r="EM183" s="71"/>
      <c r="EN183" s="71"/>
      <c r="EO183" s="122"/>
      <c r="EP183" s="221"/>
      <c r="EQ183" s="221"/>
      <c r="ER183" s="68"/>
      <c r="ES183" s="44"/>
      <c r="ET183" s="44"/>
      <c r="EU183" s="44"/>
      <c r="EV183" s="44"/>
      <c r="EW183" s="44"/>
      <c r="EX183" s="44"/>
      <c r="EY183" s="68"/>
      <c r="EZ183" s="68"/>
      <c r="FA183" s="44"/>
      <c r="FB183" s="118"/>
      <c r="FC183" s="71"/>
      <c r="FD183" s="71"/>
      <c r="FE183" s="122"/>
      <c r="FF183" s="221"/>
      <c r="FG183" s="221"/>
      <c r="FH183" s="68"/>
      <c r="FI183" s="44"/>
      <c r="FJ183" s="44"/>
      <c r="FK183" s="44"/>
      <c r="FL183" s="44"/>
      <c r="FM183" s="44"/>
      <c r="FN183" s="44"/>
      <c r="FO183" s="68"/>
      <c r="FP183" s="68"/>
      <c r="FQ183" s="44"/>
      <c r="FR183" s="118"/>
      <c r="FS183" s="71"/>
      <c r="FT183" s="71"/>
      <c r="FU183" s="122"/>
      <c r="FV183" s="221"/>
      <c r="FW183" s="221"/>
      <c r="FX183" s="68"/>
      <c r="FY183" s="44"/>
      <c r="FZ183" s="44"/>
      <c r="GA183" s="44"/>
      <c r="GB183" s="44"/>
      <c r="GC183" s="44"/>
      <c r="GD183" s="44"/>
      <c r="GE183" s="68"/>
      <c r="GF183" s="68"/>
      <c r="GG183" s="44"/>
      <c r="GH183" s="118"/>
      <c r="GI183" s="71"/>
      <c r="GJ183" s="71"/>
      <c r="GK183" s="122"/>
      <c r="GL183" s="221"/>
      <c r="GM183" s="221"/>
      <c r="GN183" s="68"/>
      <c r="GO183" s="44"/>
      <c r="GP183" s="44"/>
      <c r="GQ183" s="44"/>
      <c r="GR183" s="44"/>
      <c r="GS183" s="44"/>
      <c r="GT183" s="44"/>
      <c r="GU183" s="68"/>
      <c r="GV183" s="68"/>
      <c r="GW183" s="44"/>
      <c r="GX183" s="118"/>
      <c r="GY183" s="71"/>
      <c r="GZ183" s="71"/>
      <c r="HA183" s="122"/>
      <c r="HB183" s="221"/>
      <c r="HC183" s="221"/>
      <c r="HD183" s="68"/>
      <c r="HE183" s="44"/>
      <c r="HF183" s="44"/>
      <c r="HG183" s="44"/>
      <c r="HH183" s="44"/>
      <c r="HI183" s="44"/>
      <c r="HJ183" s="44"/>
      <c r="HK183" s="68"/>
      <c r="HL183" s="68"/>
      <c r="HM183" s="44"/>
      <c r="HN183" s="118"/>
      <c r="HO183" s="71"/>
      <c r="HP183" s="71"/>
      <c r="HQ183" s="122"/>
      <c r="HR183" s="221"/>
      <c r="HS183" s="221"/>
      <c r="HT183" s="68"/>
      <c r="HU183" s="44"/>
      <c r="HV183" s="44"/>
      <c r="HW183" s="44"/>
      <c r="HX183" s="44"/>
      <c r="HY183" s="44"/>
      <c r="HZ183" s="44"/>
      <c r="IA183" s="68"/>
      <c r="IB183" s="68"/>
      <c r="IC183" s="44"/>
      <c r="ID183" s="118"/>
      <c r="IE183" s="71"/>
      <c r="IF183" s="71"/>
      <c r="IG183" s="122"/>
      <c r="IH183" s="221"/>
      <c r="II183" s="221"/>
      <c r="IJ183" s="68"/>
      <c r="IK183" s="44"/>
      <c r="IL183" s="44"/>
      <c r="IM183" s="44"/>
      <c r="IN183" s="44"/>
      <c r="IO183" s="44"/>
      <c r="IP183" s="44"/>
      <c r="IQ183" s="68"/>
      <c r="IR183" s="68"/>
      <c r="IS183" s="44"/>
      <c r="IT183" s="118"/>
      <c r="IU183" s="71"/>
      <c r="IV183" s="71"/>
    </row>
    <row r="184" spans="1:256" s="160" customFormat="1" ht="15.6" x14ac:dyDescent="0.3">
      <c r="A184" s="34">
        <v>40358</v>
      </c>
      <c r="B184" s="226" t="s">
        <v>1297</v>
      </c>
      <c r="C184" s="490" t="s">
        <v>3598</v>
      </c>
      <c r="D184" s="108" t="s">
        <v>3126</v>
      </c>
      <c r="E184" s="35">
        <v>150</v>
      </c>
      <c r="F184" s="35">
        <v>143</v>
      </c>
      <c r="G184" s="35">
        <v>152</v>
      </c>
      <c r="H184" s="35"/>
      <c r="I184" s="38"/>
      <c r="J184" s="36"/>
      <c r="K184" s="109">
        <f t="shared" si="26"/>
        <v>445</v>
      </c>
      <c r="L184" s="110"/>
      <c r="M184" s="111">
        <v>14</v>
      </c>
      <c r="N184" s="39"/>
      <c r="O184" s="112"/>
      <c r="P184" s="105"/>
      <c r="Q184" s="122"/>
      <c r="R184" s="428"/>
      <c r="S184" s="221"/>
      <c r="T184" s="68"/>
      <c r="U184" s="44"/>
      <c r="V184" s="44"/>
      <c r="W184" s="44"/>
      <c r="X184" s="44"/>
      <c r="Y184" s="44"/>
      <c r="Z184" s="44"/>
      <c r="AA184" s="68"/>
      <c r="AB184" s="68"/>
      <c r="AC184" s="121"/>
      <c r="AD184" s="118"/>
      <c r="AE184" s="71"/>
      <c r="AF184" s="71"/>
      <c r="AG184" s="122"/>
      <c r="AH184" s="221"/>
      <c r="AI184" s="221"/>
      <c r="AJ184" s="68"/>
      <c r="AK184" s="44"/>
      <c r="AL184" s="44"/>
      <c r="AM184" s="44"/>
      <c r="AN184" s="44"/>
      <c r="AO184" s="44"/>
      <c r="AP184" s="44"/>
      <c r="AQ184" s="68"/>
      <c r="AR184" s="68"/>
      <c r="AS184" s="121"/>
      <c r="AT184" s="118"/>
      <c r="AU184" s="71"/>
      <c r="AV184" s="71"/>
      <c r="AW184" s="122"/>
      <c r="AX184" s="221"/>
      <c r="AY184" s="221"/>
      <c r="AZ184" s="68"/>
      <c r="BA184" s="44"/>
      <c r="BB184" s="44"/>
      <c r="BC184" s="44"/>
      <c r="BD184" s="44"/>
      <c r="BE184" s="44"/>
      <c r="BF184" s="44"/>
      <c r="BG184" s="68"/>
      <c r="BH184" s="68"/>
      <c r="BI184" s="121"/>
      <c r="BJ184" s="118"/>
      <c r="BK184" s="71"/>
      <c r="BL184" s="71"/>
      <c r="BM184" s="122"/>
      <c r="BN184" s="221"/>
      <c r="BO184" s="221"/>
      <c r="BP184" s="68"/>
      <c r="BQ184" s="44"/>
      <c r="BR184" s="44"/>
      <c r="BS184" s="44"/>
      <c r="BT184" s="44"/>
      <c r="BU184" s="44"/>
      <c r="BV184" s="44"/>
      <c r="BW184" s="68"/>
      <c r="BX184" s="68"/>
      <c r="BY184" s="121"/>
      <c r="BZ184" s="118"/>
      <c r="CA184" s="71"/>
      <c r="CB184" s="71"/>
      <c r="CC184" s="122"/>
      <c r="CD184" s="221"/>
      <c r="CE184" s="221"/>
      <c r="CF184" s="68"/>
      <c r="CG184" s="44"/>
      <c r="CH184" s="44"/>
      <c r="CI184" s="44"/>
      <c r="CJ184" s="44"/>
      <c r="CK184" s="44"/>
      <c r="CL184" s="44"/>
      <c r="CM184" s="68"/>
      <c r="CN184" s="68"/>
      <c r="CO184" s="121"/>
      <c r="CP184" s="118"/>
      <c r="CQ184" s="71"/>
      <c r="CR184" s="71"/>
      <c r="CS184" s="122"/>
      <c r="CT184" s="221"/>
      <c r="CU184" s="221"/>
      <c r="CV184" s="68"/>
      <c r="CW184" s="44"/>
      <c r="CX184" s="44"/>
      <c r="CY184" s="44"/>
      <c r="CZ184" s="44"/>
      <c r="DA184" s="44"/>
      <c r="DB184" s="44"/>
      <c r="DC184" s="68"/>
      <c r="DD184" s="68"/>
      <c r="DE184" s="121"/>
      <c r="DF184" s="118"/>
      <c r="DG184" s="71"/>
      <c r="DH184" s="71"/>
      <c r="DI184" s="122"/>
      <c r="DJ184" s="221"/>
      <c r="DK184" s="221"/>
      <c r="DL184" s="68"/>
      <c r="DM184" s="44"/>
      <c r="DN184" s="44"/>
      <c r="DO184" s="44"/>
      <c r="DP184" s="44"/>
      <c r="DQ184" s="44"/>
      <c r="DR184" s="44"/>
      <c r="DS184" s="68"/>
      <c r="DT184" s="68"/>
      <c r="DU184" s="121"/>
      <c r="DV184" s="118"/>
      <c r="DW184" s="71"/>
      <c r="DX184" s="71"/>
      <c r="DY184" s="122"/>
      <c r="DZ184" s="221"/>
      <c r="EA184" s="221"/>
      <c r="EB184" s="68"/>
      <c r="EC184" s="44"/>
      <c r="ED184" s="44"/>
      <c r="EE184" s="44"/>
      <c r="EF184" s="44"/>
      <c r="EG184" s="44"/>
      <c r="EH184" s="44"/>
      <c r="EI184" s="68"/>
      <c r="EJ184" s="68"/>
      <c r="EK184" s="121"/>
      <c r="EL184" s="118"/>
      <c r="EM184" s="71"/>
      <c r="EN184" s="71"/>
      <c r="EO184" s="122"/>
      <c r="EP184" s="221"/>
      <c r="EQ184" s="221"/>
      <c r="ER184" s="68"/>
      <c r="ES184" s="44"/>
      <c r="ET184" s="44"/>
      <c r="EU184" s="44"/>
      <c r="EV184" s="44"/>
      <c r="EW184" s="44"/>
      <c r="EX184" s="44"/>
      <c r="EY184" s="68"/>
      <c r="EZ184" s="68"/>
      <c r="FA184" s="121"/>
      <c r="FB184" s="118"/>
      <c r="FC184" s="71"/>
      <c r="FD184" s="71"/>
      <c r="FE184" s="122"/>
      <c r="FF184" s="221"/>
      <c r="FG184" s="221"/>
      <c r="FH184" s="68"/>
      <c r="FI184" s="44"/>
      <c r="FJ184" s="44"/>
      <c r="FK184" s="44"/>
      <c r="FL184" s="44"/>
      <c r="FM184" s="44"/>
      <c r="FN184" s="44"/>
      <c r="FO184" s="68"/>
      <c r="FP184" s="68"/>
      <c r="FQ184" s="121"/>
      <c r="FR184" s="118"/>
      <c r="FS184" s="71"/>
      <c r="FT184" s="71"/>
      <c r="FU184" s="122"/>
      <c r="FV184" s="221"/>
      <c r="FW184" s="221"/>
      <c r="FX184" s="68"/>
      <c r="FY184" s="44"/>
      <c r="FZ184" s="44"/>
      <c r="GA184" s="44"/>
      <c r="GB184" s="44"/>
      <c r="GC184" s="44"/>
      <c r="GD184" s="44"/>
      <c r="GE184" s="68"/>
      <c r="GF184" s="68"/>
      <c r="GG184" s="121"/>
      <c r="GH184" s="118"/>
      <c r="GI184" s="71"/>
      <c r="GJ184" s="71"/>
      <c r="GK184" s="122"/>
      <c r="GL184" s="221"/>
      <c r="GM184" s="221"/>
      <c r="GN184" s="68"/>
      <c r="GO184" s="44"/>
      <c r="GP184" s="44"/>
      <c r="GQ184" s="44"/>
      <c r="GR184" s="44"/>
      <c r="GS184" s="44"/>
      <c r="GT184" s="44"/>
      <c r="GU184" s="68"/>
      <c r="GV184" s="68"/>
      <c r="GW184" s="121"/>
      <c r="GX184" s="118"/>
      <c r="GY184" s="71"/>
      <c r="GZ184" s="71"/>
      <c r="HA184" s="122"/>
      <c r="HB184" s="221"/>
      <c r="HC184" s="221"/>
      <c r="HD184" s="68"/>
      <c r="HE184" s="44"/>
      <c r="HF184" s="44"/>
      <c r="HG184" s="44"/>
      <c r="HH184" s="44"/>
      <c r="HI184" s="44"/>
      <c r="HJ184" s="44"/>
      <c r="HK184" s="68"/>
      <c r="HL184" s="68"/>
      <c r="HM184" s="121"/>
      <c r="HN184" s="118"/>
      <c r="HO184" s="71"/>
      <c r="HP184" s="71"/>
      <c r="HQ184" s="122"/>
      <c r="HR184" s="221"/>
      <c r="HS184" s="221"/>
      <c r="HT184" s="68"/>
      <c r="HU184" s="44"/>
      <c r="HV184" s="44"/>
      <c r="HW184" s="44"/>
      <c r="HX184" s="44"/>
      <c r="HY184" s="44"/>
      <c r="HZ184" s="44"/>
      <c r="IA184" s="68"/>
      <c r="IB184" s="68"/>
      <c r="IC184" s="121"/>
      <c r="ID184" s="118"/>
      <c r="IE184" s="71"/>
      <c r="IF184" s="71"/>
      <c r="IG184" s="122"/>
      <c r="IH184" s="221"/>
      <c r="II184" s="221"/>
      <c r="IJ184" s="68"/>
      <c r="IK184" s="44"/>
      <c r="IL184" s="44"/>
      <c r="IM184" s="44"/>
      <c r="IN184" s="44"/>
      <c r="IO184" s="44"/>
      <c r="IP184" s="44"/>
      <c r="IQ184" s="68"/>
      <c r="IR184" s="68"/>
      <c r="IS184" s="121"/>
      <c r="IT184" s="118"/>
      <c r="IU184" s="71"/>
      <c r="IV184" s="71"/>
    </row>
    <row r="185" spans="1:256" s="160" customFormat="1" ht="13.8" thickBot="1" x14ac:dyDescent="0.3">
      <c r="A185" s="94"/>
      <c r="B185" s="223"/>
      <c r="C185" s="224"/>
      <c r="D185" s="95" t="s">
        <v>3127</v>
      </c>
      <c r="E185" s="55">
        <v>148</v>
      </c>
      <c r="F185" s="55">
        <v>147</v>
      </c>
      <c r="G185" s="55">
        <v>149</v>
      </c>
      <c r="H185" s="55"/>
      <c r="I185" s="62"/>
      <c r="J185" s="60"/>
      <c r="K185" s="96">
        <f t="shared" si="26"/>
        <v>444</v>
      </c>
      <c r="L185" s="97">
        <f>+K184+K185</f>
        <v>889</v>
      </c>
      <c r="M185" s="60">
        <v>29</v>
      </c>
      <c r="N185" s="63">
        <f>+L185/1200</f>
        <v>0.74099999999999999</v>
      </c>
      <c r="O185" s="98">
        <v>988</v>
      </c>
      <c r="P185" s="107">
        <v>717</v>
      </c>
      <c r="Q185" s="122"/>
      <c r="R185" s="221"/>
      <c r="S185" s="221"/>
      <c r="T185" s="68"/>
      <c r="U185" s="44"/>
      <c r="V185" s="44"/>
      <c r="W185" s="44"/>
      <c r="X185" s="44"/>
      <c r="Y185" s="44"/>
      <c r="Z185" s="44"/>
      <c r="AA185" s="68"/>
      <c r="AB185" s="68"/>
      <c r="AC185" s="44"/>
      <c r="AD185" s="118"/>
      <c r="AE185" s="71"/>
      <c r="AF185" s="71"/>
      <c r="AG185" s="122"/>
      <c r="AH185" s="221"/>
      <c r="AI185" s="221"/>
      <c r="AJ185" s="68"/>
      <c r="AK185" s="44"/>
      <c r="AL185" s="44"/>
      <c r="AM185" s="44"/>
      <c r="AN185" s="44"/>
      <c r="AO185" s="44"/>
      <c r="AP185" s="44"/>
      <c r="AQ185" s="68"/>
      <c r="AR185" s="68"/>
      <c r="AS185" s="44"/>
      <c r="AT185" s="118"/>
      <c r="AU185" s="71"/>
      <c r="AV185" s="71"/>
      <c r="AW185" s="122"/>
      <c r="AX185" s="221"/>
      <c r="AY185" s="221"/>
      <c r="AZ185" s="68"/>
      <c r="BA185" s="44"/>
      <c r="BB185" s="44"/>
      <c r="BC185" s="44"/>
      <c r="BD185" s="44"/>
      <c r="BE185" s="44"/>
      <c r="BF185" s="44"/>
      <c r="BG185" s="68"/>
      <c r="BH185" s="68"/>
      <c r="BI185" s="44"/>
      <c r="BJ185" s="118"/>
      <c r="BK185" s="71"/>
      <c r="BL185" s="71"/>
      <c r="BM185" s="122"/>
      <c r="BN185" s="221"/>
      <c r="BO185" s="221"/>
      <c r="BP185" s="68"/>
      <c r="BQ185" s="44"/>
      <c r="BR185" s="44"/>
      <c r="BS185" s="44"/>
      <c r="BT185" s="44"/>
      <c r="BU185" s="44"/>
      <c r="BV185" s="44"/>
      <c r="BW185" s="68"/>
      <c r="BX185" s="68"/>
      <c r="BY185" s="44"/>
      <c r="BZ185" s="118"/>
      <c r="CA185" s="71"/>
      <c r="CB185" s="71"/>
      <c r="CC185" s="122"/>
      <c r="CD185" s="221"/>
      <c r="CE185" s="221"/>
      <c r="CF185" s="68"/>
      <c r="CG185" s="44"/>
      <c r="CH185" s="44"/>
      <c r="CI185" s="44"/>
      <c r="CJ185" s="44"/>
      <c r="CK185" s="44"/>
      <c r="CL185" s="44"/>
      <c r="CM185" s="68"/>
      <c r="CN185" s="68"/>
      <c r="CO185" s="44"/>
      <c r="CP185" s="118"/>
      <c r="CQ185" s="71"/>
      <c r="CR185" s="71"/>
      <c r="CS185" s="122"/>
      <c r="CT185" s="221"/>
      <c r="CU185" s="221"/>
      <c r="CV185" s="68"/>
      <c r="CW185" s="44"/>
      <c r="CX185" s="44"/>
      <c r="CY185" s="44"/>
      <c r="CZ185" s="44"/>
      <c r="DA185" s="44"/>
      <c r="DB185" s="44"/>
      <c r="DC185" s="68"/>
      <c r="DD185" s="68"/>
      <c r="DE185" s="44"/>
      <c r="DF185" s="118"/>
      <c r="DG185" s="71"/>
      <c r="DH185" s="71"/>
      <c r="DI185" s="122"/>
      <c r="DJ185" s="221"/>
      <c r="DK185" s="221"/>
      <c r="DL185" s="68"/>
      <c r="DM185" s="44"/>
      <c r="DN185" s="44"/>
      <c r="DO185" s="44"/>
      <c r="DP185" s="44"/>
      <c r="DQ185" s="44"/>
      <c r="DR185" s="44"/>
      <c r="DS185" s="68"/>
      <c r="DT185" s="68"/>
      <c r="DU185" s="44"/>
      <c r="DV185" s="118"/>
      <c r="DW185" s="71"/>
      <c r="DX185" s="71"/>
      <c r="DY185" s="122"/>
      <c r="DZ185" s="221"/>
      <c r="EA185" s="221"/>
      <c r="EB185" s="68"/>
      <c r="EC185" s="44"/>
      <c r="ED185" s="44"/>
      <c r="EE185" s="44"/>
      <c r="EF185" s="44"/>
      <c r="EG185" s="44"/>
      <c r="EH185" s="44"/>
      <c r="EI185" s="68"/>
      <c r="EJ185" s="68"/>
      <c r="EK185" s="44"/>
      <c r="EL185" s="118"/>
      <c r="EM185" s="71"/>
      <c r="EN185" s="71"/>
      <c r="EO185" s="122"/>
      <c r="EP185" s="221"/>
      <c r="EQ185" s="221"/>
      <c r="ER185" s="68"/>
      <c r="ES185" s="44"/>
      <c r="ET185" s="44"/>
      <c r="EU185" s="44"/>
      <c r="EV185" s="44"/>
      <c r="EW185" s="44"/>
      <c r="EX185" s="44"/>
      <c r="EY185" s="68"/>
      <c r="EZ185" s="68"/>
      <c r="FA185" s="44"/>
      <c r="FB185" s="118"/>
      <c r="FC185" s="71"/>
      <c r="FD185" s="71"/>
      <c r="FE185" s="122"/>
      <c r="FF185" s="221"/>
      <c r="FG185" s="221"/>
      <c r="FH185" s="68"/>
      <c r="FI185" s="44"/>
      <c r="FJ185" s="44"/>
      <c r="FK185" s="44"/>
      <c r="FL185" s="44"/>
      <c r="FM185" s="44"/>
      <c r="FN185" s="44"/>
      <c r="FO185" s="68"/>
      <c r="FP185" s="68"/>
      <c r="FQ185" s="44"/>
      <c r="FR185" s="118"/>
      <c r="FS185" s="71"/>
      <c r="FT185" s="71"/>
      <c r="FU185" s="122"/>
      <c r="FV185" s="221"/>
      <c r="FW185" s="221"/>
      <c r="FX185" s="68"/>
      <c r="FY185" s="44"/>
      <c r="FZ185" s="44"/>
      <c r="GA185" s="44"/>
      <c r="GB185" s="44"/>
      <c r="GC185" s="44"/>
      <c r="GD185" s="44"/>
      <c r="GE185" s="68"/>
      <c r="GF185" s="68"/>
      <c r="GG185" s="44"/>
      <c r="GH185" s="118"/>
      <c r="GI185" s="71"/>
      <c r="GJ185" s="71"/>
      <c r="GK185" s="122"/>
      <c r="GL185" s="221"/>
      <c r="GM185" s="221"/>
      <c r="GN185" s="68"/>
      <c r="GO185" s="44"/>
      <c r="GP185" s="44"/>
      <c r="GQ185" s="44"/>
      <c r="GR185" s="44"/>
      <c r="GS185" s="44"/>
      <c r="GT185" s="44"/>
      <c r="GU185" s="68"/>
      <c r="GV185" s="68"/>
      <c r="GW185" s="44"/>
      <c r="GX185" s="118"/>
      <c r="GY185" s="71"/>
      <c r="GZ185" s="71"/>
      <c r="HA185" s="122"/>
      <c r="HB185" s="221"/>
      <c r="HC185" s="221"/>
      <c r="HD185" s="68"/>
      <c r="HE185" s="44"/>
      <c r="HF185" s="44"/>
      <c r="HG185" s="44"/>
      <c r="HH185" s="44"/>
      <c r="HI185" s="44"/>
      <c r="HJ185" s="44"/>
      <c r="HK185" s="68"/>
      <c r="HL185" s="68"/>
      <c r="HM185" s="44"/>
      <c r="HN185" s="118"/>
      <c r="HO185" s="71"/>
      <c r="HP185" s="71"/>
      <c r="HQ185" s="122"/>
      <c r="HR185" s="221"/>
      <c r="HS185" s="221"/>
      <c r="HT185" s="68"/>
      <c r="HU185" s="44"/>
      <c r="HV185" s="44"/>
      <c r="HW185" s="44"/>
      <c r="HX185" s="44"/>
      <c r="HY185" s="44"/>
      <c r="HZ185" s="44"/>
      <c r="IA185" s="68"/>
      <c r="IB185" s="68"/>
      <c r="IC185" s="44"/>
      <c r="ID185" s="118"/>
      <c r="IE185" s="71"/>
      <c r="IF185" s="71"/>
      <c r="IG185" s="122"/>
      <c r="IH185" s="221"/>
      <c r="II185" s="221"/>
      <c r="IJ185" s="68"/>
      <c r="IK185" s="44"/>
      <c r="IL185" s="44"/>
      <c r="IM185" s="44"/>
      <c r="IN185" s="44"/>
      <c r="IO185" s="44"/>
      <c r="IP185" s="44"/>
      <c r="IQ185" s="68"/>
      <c r="IR185" s="68"/>
      <c r="IS185" s="44"/>
      <c r="IT185" s="118"/>
      <c r="IU185" s="71"/>
      <c r="IV185" s="71"/>
    </row>
    <row r="186" spans="1:256" s="160" customFormat="1" x14ac:dyDescent="0.25">
      <c r="A186" s="34">
        <v>41093</v>
      </c>
      <c r="B186" s="226" t="s">
        <v>126</v>
      </c>
      <c r="C186" s="228" t="s">
        <v>1792</v>
      </c>
      <c r="D186" s="108" t="s">
        <v>1984</v>
      </c>
      <c r="E186" s="112">
        <f>213/3*2</f>
        <v>142</v>
      </c>
      <c r="F186" s="112">
        <f>202/3*2</f>
        <v>135</v>
      </c>
      <c r="G186" s="112">
        <f>204/3*2</f>
        <v>136</v>
      </c>
      <c r="H186" s="35"/>
      <c r="I186" s="38"/>
      <c r="J186" s="36"/>
      <c r="K186" s="411">
        <f t="shared" si="26"/>
        <v>413</v>
      </c>
      <c r="L186" s="412"/>
      <c r="M186" s="111">
        <v>18</v>
      </c>
      <c r="N186" s="39"/>
      <c r="O186" s="112"/>
      <c r="P186" s="105"/>
      <c r="Q186" s="122"/>
      <c r="R186" s="428"/>
      <c r="S186" s="221"/>
      <c r="T186" s="68"/>
      <c r="U186" s="44"/>
      <c r="V186" s="44"/>
      <c r="W186" s="44"/>
      <c r="X186" s="44"/>
      <c r="Y186" s="44"/>
      <c r="Z186" s="44"/>
      <c r="AA186" s="68"/>
      <c r="AB186" s="68"/>
      <c r="AC186" s="121"/>
      <c r="AD186" s="118"/>
      <c r="AE186" s="71"/>
      <c r="AF186" s="71"/>
      <c r="AG186" s="122"/>
      <c r="AH186" s="221"/>
      <c r="AI186" s="221"/>
      <c r="AJ186" s="68"/>
      <c r="AK186" s="44"/>
      <c r="AL186" s="44"/>
      <c r="AM186" s="44"/>
      <c r="AN186" s="44"/>
      <c r="AO186" s="44"/>
      <c r="AP186" s="44"/>
      <c r="AQ186" s="68"/>
      <c r="AR186" s="68"/>
      <c r="AS186" s="121"/>
      <c r="AT186" s="118"/>
      <c r="AU186" s="71"/>
      <c r="AV186" s="71"/>
      <c r="AW186" s="122"/>
      <c r="AX186" s="221"/>
      <c r="AY186" s="221"/>
      <c r="AZ186" s="68"/>
      <c r="BA186" s="44"/>
      <c r="BB186" s="44"/>
      <c r="BC186" s="44"/>
      <c r="BD186" s="44"/>
      <c r="BE186" s="44"/>
      <c r="BF186" s="44"/>
      <c r="BG186" s="68"/>
      <c r="BH186" s="68"/>
      <c r="BI186" s="121"/>
      <c r="BJ186" s="118"/>
      <c r="BK186" s="71"/>
      <c r="BL186" s="71"/>
      <c r="BM186" s="122"/>
      <c r="BN186" s="221"/>
      <c r="BO186" s="221"/>
      <c r="BP186" s="68"/>
      <c r="BQ186" s="44"/>
      <c r="BR186" s="44"/>
      <c r="BS186" s="44"/>
      <c r="BT186" s="44"/>
      <c r="BU186" s="44"/>
      <c r="BV186" s="44"/>
      <c r="BW186" s="68"/>
      <c r="BX186" s="68"/>
      <c r="BY186" s="121"/>
      <c r="BZ186" s="118"/>
      <c r="CA186" s="71"/>
      <c r="CB186" s="71"/>
      <c r="CC186" s="122"/>
      <c r="CD186" s="221"/>
      <c r="CE186" s="221"/>
      <c r="CF186" s="68"/>
      <c r="CG186" s="44"/>
      <c r="CH186" s="44"/>
      <c r="CI186" s="44"/>
      <c r="CJ186" s="44"/>
      <c r="CK186" s="44"/>
      <c r="CL186" s="44"/>
      <c r="CM186" s="68"/>
      <c r="CN186" s="68"/>
      <c r="CO186" s="121"/>
      <c r="CP186" s="118"/>
      <c r="CQ186" s="71"/>
      <c r="CR186" s="71"/>
      <c r="CS186" s="122"/>
      <c r="CT186" s="221"/>
      <c r="CU186" s="221"/>
      <c r="CV186" s="68"/>
      <c r="CW186" s="44"/>
      <c r="CX186" s="44"/>
      <c r="CY186" s="44"/>
      <c r="CZ186" s="44"/>
      <c r="DA186" s="44"/>
      <c r="DB186" s="44"/>
      <c r="DC186" s="68"/>
      <c r="DD186" s="68"/>
      <c r="DE186" s="121"/>
      <c r="DF186" s="118"/>
      <c r="DG186" s="71"/>
      <c r="DH186" s="71"/>
      <c r="DI186" s="122"/>
      <c r="DJ186" s="221"/>
      <c r="DK186" s="221"/>
      <c r="DL186" s="68"/>
      <c r="DM186" s="44"/>
      <c r="DN186" s="44"/>
      <c r="DO186" s="44"/>
      <c r="DP186" s="44"/>
      <c r="DQ186" s="44"/>
      <c r="DR186" s="44"/>
      <c r="DS186" s="68"/>
      <c r="DT186" s="68"/>
      <c r="DU186" s="121"/>
      <c r="DV186" s="118"/>
      <c r="DW186" s="71"/>
      <c r="DX186" s="71"/>
      <c r="DY186" s="122"/>
      <c r="DZ186" s="221"/>
      <c r="EA186" s="221"/>
      <c r="EB186" s="68"/>
      <c r="EC186" s="44"/>
      <c r="ED186" s="44"/>
      <c r="EE186" s="44"/>
      <c r="EF186" s="44"/>
      <c r="EG186" s="44"/>
      <c r="EH186" s="44"/>
      <c r="EI186" s="68"/>
      <c r="EJ186" s="68"/>
      <c r="EK186" s="121"/>
      <c r="EL186" s="118"/>
      <c r="EM186" s="71"/>
      <c r="EN186" s="71"/>
      <c r="EO186" s="122"/>
      <c r="EP186" s="221"/>
      <c r="EQ186" s="221"/>
      <c r="ER186" s="68"/>
      <c r="ES186" s="44"/>
      <c r="ET186" s="44"/>
      <c r="EU186" s="44"/>
      <c r="EV186" s="44"/>
      <c r="EW186" s="44"/>
      <c r="EX186" s="44"/>
      <c r="EY186" s="68"/>
      <c r="EZ186" s="68"/>
      <c r="FA186" s="121"/>
      <c r="FB186" s="118"/>
      <c r="FC186" s="71"/>
      <c r="FD186" s="71"/>
      <c r="FE186" s="122"/>
      <c r="FF186" s="221"/>
      <c r="FG186" s="221"/>
      <c r="FH186" s="68"/>
      <c r="FI186" s="44"/>
      <c r="FJ186" s="44"/>
      <c r="FK186" s="44"/>
      <c r="FL186" s="44"/>
      <c r="FM186" s="44"/>
      <c r="FN186" s="44"/>
      <c r="FO186" s="68"/>
      <c r="FP186" s="68"/>
      <c r="FQ186" s="121"/>
      <c r="FR186" s="118"/>
      <c r="FS186" s="71"/>
      <c r="FT186" s="71"/>
      <c r="FU186" s="122"/>
      <c r="FV186" s="221"/>
      <c r="FW186" s="221"/>
      <c r="FX186" s="68"/>
      <c r="FY186" s="44"/>
      <c r="FZ186" s="44"/>
      <c r="GA186" s="44"/>
      <c r="GB186" s="44"/>
      <c r="GC186" s="44"/>
      <c r="GD186" s="44"/>
      <c r="GE186" s="68"/>
      <c r="GF186" s="68"/>
      <c r="GG186" s="121"/>
      <c r="GH186" s="118"/>
      <c r="GI186" s="71"/>
      <c r="GJ186" s="71"/>
      <c r="GK186" s="122"/>
      <c r="GL186" s="221"/>
      <c r="GM186" s="221"/>
      <c r="GN186" s="68"/>
      <c r="GO186" s="44"/>
      <c r="GP186" s="44"/>
      <c r="GQ186" s="44"/>
      <c r="GR186" s="44"/>
      <c r="GS186" s="44"/>
      <c r="GT186" s="44"/>
      <c r="GU186" s="68"/>
      <c r="GV186" s="68"/>
      <c r="GW186" s="121"/>
      <c r="GX186" s="118"/>
      <c r="GY186" s="71"/>
      <c r="GZ186" s="71"/>
      <c r="HA186" s="122"/>
      <c r="HB186" s="221"/>
      <c r="HC186" s="221"/>
      <c r="HD186" s="68"/>
      <c r="HE186" s="44"/>
      <c r="HF186" s="44"/>
      <c r="HG186" s="44"/>
      <c r="HH186" s="44"/>
      <c r="HI186" s="44"/>
      <c r="HJ186" s="44"/>
      <c r="HK186" s="68"/>
      <c r="HL186" s="68"/>
      <c r="HM186" s="121"/>
      <c r="HN186" s="118"/>
      <c r="HO186" s="71"/>
      <c r="HP186" s="71"/>
      <c r="HQ186" s="122"/>
      <c r="HR186" s="221"/>
      <c r="HS186" s="221"/>
      <c r="HT186" s="68"/>
      <c r="HU186" s="44"/>
      <c r="HV186" s="44"/>
      <c r="HW186" s="44"/>
      <c r="HX186" s="44"/>
      <c r="HY186" s="44"/>
      <c r="HZ186" s="44"/>
      <c r="IA186" s="68"/>
      <c r="IB186" s="68"/>
      <c r="IC186" s="121"/>
      <c r="ID186" s="118"/>
      <c r="IE186" s="71"/>
      <c r="IF186" s="71"/>
      <c r="IG186" s="122"/>
      <c r="IH186" s="221"/>
      <c r="II186" s="221"/>
      <c r="IJ186" s="68"/>
      <c r="IK186" s="44"/>
      <c r="IL186" s="44"/>
      <c r="IM186" s="44"/>
      <c r="IN186" s="44"/>
      <c r="IO186" s="44"/>
      <c r="IP186" s="44"/>
      <c r="IQ186" s="68"/>
      <c r="IR186" s="68"/>
      <c r="IS186" s="121"/>
      <c r="IT186" s="118"/>
      <c r="IU186" s="71"/>
      <c r="IV186" s="71"/>
    </row>
    <row r="187" spans="1:256" s="160" customFormat="1" ht="13.8" thickBot="1" x14ac:dyDescent="0.3">
      <c r="A187" s="94"/>
      <c r="B187" s="223"/>
      <c r="C187" s="224"/>
      <c r="D187" s="95" t="s">
        <v>653</v>
      </c>
      <c r="E187" s="98">
        <f>214/3*2</f>
        <v>143</v>
      </c>
      <c r="F187" s="98">
        <f>201/3*2</f>
        <v>134</v>
      </c>
      <c r="G187" s="98">
        <f>201/3*2</f>
        <v>134</v>
      </c>
      <c r="H187" s="55"/>
      <c r="I187" s="62"/>
      <c r="J187" s="60"/>
      <c r="K187" s="413">
        <f t="shared" si="26"/>
        <v>411</v>
      </c>
      <c r="L187" s="414">
        <f>+K186+K187</f>
        <v>824</v>
      </c>
      <c r="M187" s="60">
        <v>23</v>
      </c>
      <c r="N187" s="63">
        <f>+L187/1200</f>
        <v>0.68700000000000006</v>
      </c>
      <c r="O187" s="98">
        <f>490.333333333333*2</f>
        <v>981</v>
      </c>
      <c r="P187" s="107">
        <f>390*2</f>
        <v>780</v>
      </c>
      <c r="Q187" s="122"/>
      <c r="R187" s="221"/>
      <c r="S187" s="221"/>
      <c r="T187" s="68"/>
      <c r="U187" s="44"/>
      <c r="V187" s="44"/>
      <c r="W187" s="44"/>
      <c r="X187" s="44"/>
      <c r="Y187" s="44"/>
      <c r="Z187" s="44"/>
      <c r="AA187" s="68"/>
      <c r="AB187" s="68"/>
      <c r="AC187" s="44"/>
      <c r="AD187" s="118"/>
      <c r="AE187" s="71"/>
      <c r="AF187" s="71"/>
      <c r="AG187" s="122"/>
      <c r="AH187" s="221"/>
      <c r="AI187" s="221"/>
      <c r="AJ187" s="68"/>
      <c r="AK187" s="44"/>
      <c r="AL187" s="44"/>
      <c r="AM187" s="44"/>
      <c r="AN187" s="44"/>
      <c r="AO187" s="44"/>
      <c r="AP187" s="44"/>
      <c r="AQ187" s="68"/>
      <c r="AR187" s="68"/>
      <c r="AS187" s="44"/>
      <c r="AT187" s="118"/>
      <c r="AU187" s="71"/>
      <c r="AV187" s="71"/>
      <c r="AW187" s="122"/>
      <c r="AX187" s="221"/>
      <c r="AY187" s="221"/>
      <c r="AZ187" s="68"/>
      <c r="BA187" s="44"/>
      <c r="BB187" s="44"/>
      <c r="BC187" s="44"/>
      <c r="BD187" s="44"/>
      <c r="BE187" s="44"/>
      <c r="BF187" s="44"/>
      <c r="BG187" s="68"/>
      <c r="BH187" s="68"/>
      <c r="BI187" s="44"/>
      <c r="BJ187" s="118"/>
      <c r="BK187" s="71"/>
      <c r="BL187" s="71"/>
      <c r="BM187" s="122"/>
      <c r="BN187" s="221"/>
      <c r="BO187" s="221"/>
      <c r="BP187" s="68"/>
      <c r="BQ187" s="44"/>
      <c r="BR187" s="44"/>
      <c r="BS187" s="44"/>
      <c r="BT187" s="44"/>
      <c r="BU187" s="44"/>
      <c r="BV187" s="44"/>
      <c r="BW187" s="68"/>
      <c r="BX187" s="68"/>
      <c r="BY187" s="44"/>
      <c r="BZ187" s="118"/>
      <c r="CA187" s="71"/>
      <c r="CB187" s="71"/>
      <c r="CC187" s="122"/>
      <c r="CD187" s="221"/>
      <c r="CE187" s="221"/>
      <c r="CF187" s="68"/>
      <c r="CG187" s="44"/>
      <c r="CH187" s="44"/>
      <c r="CI187" s="44"/>
      <c r="CJ187" s="44"/>
      <c r="CK187" s="44"/>
      <c r="CL187" s="44"/>
      <c r="CM187" s="68"/>
      <c r="CN187" s="68"/>
      <c r="CO187" s="44"/>
      <c r="CP187" s="118"/>
      <c r="CQ187" s="71"/>
      <c r="CR187" s="71"/>
      <c r="CS187" s="122"/>
      <c r="CT187" s="221"/>
      <c r="CU187" s="221"/>
      <c r="CV187" s="68"/>
      <c r="CW187" s="44"/>
      <c r="CX187" s="44"/>
      <c r="CY187" s="44"/>
      <c r="CZ187" s="44"/>
      <c r="DA187" s="44"/>
      <c r="DB187" s="44"/>
      <c r="DC187" s="68"/>
      <c r="DD187" s="68"/>
      <c r="DE187" s="44"/>
      <c r="DF187" s="118"/>
      <c r="DG187" s="71"/>
      <c r="DH187" s="71"/>
      <c r="DI187" s="122"/>
      <c r="DJ187" s="221"/>
      <c r="DK187" s="221"/>
      <c r="DL187" s="68"/>
      <c r="DM187" s="44"/>
      <c r="DN187" s="44"/>
      <c r="DO187" s="44"/>
      <c r="DP187" s="44"/>
      <c r="DQ187" s="44"/>
      <c r="DR187" s="44"/>
      <c r="DS187" s="68"/>
      <c r="DT187" s="68"/>
      <c r="DU187" s="44"/>
      <c r="DV187" s="118"/>
      <c r="DW187" s="71"/>
      <c r="DX187" s="71"/>
      <c r="DY187" s="122"/>
      <c r="DZ187" s="221"/>
      <c r="EA187" s="221"/>
      <c r="EB187" s="68"/>
      <c r="EC187" s="44"/>
      <c r="ED187" s="44"/>
      <c r="EE187" s="44"/>
      <c r="EF187" s="44"/>
      <c r="EG187" s="44"/>
      <c r="EH187" s="44"/>
      <c r="EI187" s="68"/>
      <c r="EJ187" s="68"/>
      <c r="EK187" s="44"/>
      <c r="EL187" s="118"/>
      <c r="EM187" s="71"/>
      <c r="EN187" s="71"/>
      <c r="EO187" s="122"/>
      <c r="EP187" s="221"/>
      <c r="EQ187" s="221"/>
      <c r="ER187" s="68"/>
      <c r="ES187" s="44"/>
      <c r="ET187" s="44"/>
      <c r="EU187" s="44"/>
      <c r="EV187" s="44"/>
      <c r="EW187" s="44"/>
      <c r="EX187" s="44"/>
      <c r="EY187" s="68"/>
      <c r="EZ187" s="68"/>
      <c r="FA187" s="44"/>
      <c r="FB187" s="118"/>
      <c r="FC187" s="71"/>
      <c r="FD187" s="71"/>
      <c r="FE187" s="122"/>
      <c r="FF187" s="221"/>
      <c r="FG187" s="221"/>
      <c r="FH187" s="68"/>
      <c r="FI187" s="44"/>
      <c r="FJ187" s="44"/>
      <c r="FK187" s="44"/>
      <c r="FL187" s="44"/>
      <c r="FM187" s="44"/>
      <c r="FN187" s="44"/>
      <c r="FO187" s="68"/>
      <c r="FP187" s="68"/>
      <c r="FQ187" s="44"/>
      <c r="FR187" s="118"/>
      <c r="FS187" s="71"/>
      <c r="FT187" s="71"/>
      <c r="FU187" s="122"/>
      <c r="FV187" s="221"/>
      <c r="FW187" s="221"/>
      <c r="FX187" s="68"/>
      <c r="FY187" s="44"/>
      <c r="FZ187" s="44"/>
      <c r="GA187" s="44"/>
      <c r="GB187" s="44"/>
      <c r="GC187" s="44"/>
      <c r="GD187" s="44"/>
      <c r="GE187" s="68"/>
      <c r="GF187" s="68"/>
      <c r="GG187" s="44"/>
      <c r="GH187" s="118"/>
      <c r="GI187" s="71"/>
      <c r="GJ187" s="71"/>
      <c r="GK187" s="122"/>
      <c r="GL187" s="221"/>
      <c r="GM187" s="221"/>
      <c r="GN187" s="68"/>
      <c r="GO187" s="44"/>
      <c r="GP187" s="44"/>
      <c r="GQ187" s="44"/>
      <c r="GR187" s="44"/>
      <c r="GS187" s="44"/>
      <c r="GT187" s="44"/>
      <c r="GU187" s="68"/>
      <c r="GV187" s="68"/>
      <c r="GW187" s="44"/>
      <c r="GX187" s="118"/>
      <c r="GY187" s="71"/>
      <c r="GZ187" s="71"/>
      <c r="HA187" s="122"/>
      <c r="HB187" s="221"/>
      <c r="HC187" s="221"/>
      <c r="HD187" s="68"/>
      <c r="HE187" s="44"/>
      <c r="HF187" s="44"/>
      <c r="HG187" s="44"/>
      <c r="HH187" s="44"/>
      <c r="HI187" s="44"/>
      <c r="HJ187" s="44"/>
      <c r="HK187" s="68"/>
      <c r="HL187" s="68"/>
      <c r="HM187" s="44"/>
      <c r="HN187" s="118"/>
      <c r="HO187" s="71"/>
      <c r="HP187" s="71"/>
      <c r="HQ187" s="122"/>
      <c r="HR187" s="221"/>
      <c r="HS187" s="221"/>
      <c r="HT187" s="68"/>
      <c r="HU187" s="44"/>
      <c r="HV187" s="44"/>
      <c r="HW187" s="44"/>
      <c r="HX187" s="44"/>
      <c r="HY187" s="44"/>
      <c r="HZ187" s="44"/>
      <c r="IA187" s="68"/>
      <c r="IB187" s="68"/>
      <c r="IC187" s="44"/>
      <c r="ID187" s="118"/>
      <c r="IE187" s="71"/>
      <c r="IF187" s="71"/>
      <c r="IG187" s="122"/>
      <c r="IH187" s="221"/>
      <c r="II187" s="221"/>
      <c r="IJ187" s="68"/>
      <c r="IK187" s="44"/>
      <c r="IL187" s="44"/>
      <c r="IM187" s="44"/>
      <c r="IN187" s="44"/>
      <c r="IO187" s="44"/>
      <c r="IP187" s="44"/>
      <c r="IQ187" s="68"/>
      <c r="IR187" s="68"/>
      <c r="IS187" s="44"/>
      <c r="IT187" s="118"/>
      <c r="IU187" s="71"/>
      <c r="IV187" s="71"/>
    </row>
    <row r="188" spans="1:256" s="160" customFormat="1" x14ac:dyDescent="0.25">
      <c r="A188" s="34">
        <v>41457</v>
      </c>
      <c r="B188" s="226" t="s">
        <v>3643</v>
      </c>
      <c r="C188" s="569" t="s">
        <v>4017</v>
      </c>
      <c r="D188" s="108" t="s">
        <v>3646</v>
      </c>
      <c r="E188" s="112">
        <f>209/3*2</f>
        <v>139</v>
      </c>
      <c r="F188" s="112">
        <f>217/3*2</f>
        <v>145</v>
      </c>
      <c r="G188" s="112">
        <f>214/3*2</f>
        <v>143</v>
      </c>
      <c r="H188" s="35"/>
      <c r="I188" s="38"/>
      <c r="J188" s="36"/>
      <c r="K188" s="411">
        <f t="shared" si="26"/>
        <v>427</v>
      </c>
      <c r="L188" s="412"/>
      <c r="M188" s="111">
        <v>18</v>
      </c>
      <c r="N188" s="39"/>
      <c r="O188" s="112"/>
      <c r="P188" s="105"/>
      <c r="Q188" s="122"/>
      <c r="R188" s="428"/>
      <c r="S188" s="221"/>
      <c r="T188" s="68"/>
      <c r="U188" s="44"/>
      <c r="V188" s="44"/>
      <c r="W188" s="44"/>
      <c r="X188" s="44"/>
      <c r="Y188" s="44"/>
      <c r="Z188" s="44"/>
      <c r="AA188" s="68"/>
      <c r="AB188" s="68"/>
      <c r="AC188" s="121"/>
      <c r="AD188" s="118"/>
      <c r="AE188" s="71"/>
      <c r="AF188" s="71"/>
      <c r="AG188" s="122"/>
      <c r="AH188" s="221"/>
      <c r="AI188" s="221"/>
      <c r="AJ188" s="68"/>
      <c r="AK188" s="44"/>
      <c r="AL188" s="44"/>
      <c r="AM188" s="44"/>
      <c r="AN188" s="44"/>
      <c r="AO188" s="44"/>
      <c r="AP188" s="44"/>
      <c r="AQ188" s="68"/>
      <c r="AR188" s="68"/>
      <c r="AS188" s="121"/>
      <c r="AT188" s="118"/>
      <c r="AU188" s="71"/>
      <c r="AV188" s="71"/>
      <c r="AW188" s="122"/>
      <c r="AX188" s="221"/>
      <c r="AY188" s="221"/>
      <c r="AZ188" s="68"/>
      <c r="BA188" s="44"/>
      <c r="BB188" s="44"/>
      <c r="BC188" s="44"/>
      <c r="BD188" s="44"/>
      <c r="BE188" s="44"/>
      <c r="BF188" s="44"/>
      <c r="BG188" s="68"/>
      <c r="BH188" s="68"/>
      <c r="BI188" s="121"/>
      <c r="BJ188" s="118"/>
      <c r="BK188" s="71"/>
      <c r="BL188" s="71"/>
      <c r="BM188" s="122"/>
      <c r="BN188" s="221"/>
      <c r="BO188" s="221"/>
      <c r="BP188" s="68"/>
      <c r="BQ188" s="44"/>
      <c r="BR188" s="44"/>
      <c r="BS188" s="44"/>
      <c r="BT188" s="44"/>
      <c r="BU188" s="44"/>
      <c r="BV188" s="44"/>
      <c r="BW188" s="68"/>
      <c r="BX188" s="68"/>
      <c r="BY188" s="121"/>
      <c r="BZ188" s="118"/>
      <c r="CA188" s="71"/>
      <c r="CB188" s="71"/>
      <c r="CC188" s="122"/>
      <c r="CD188" s="221"/>
      <c r="CE188" s="221"/>
      <c r="CF188" s="68"/>
      <c r="CG188" s="44"/>
      <c r="CH188" s="44"/>
      <c r="CI188" s="44"/>
      <c r="CJ188" s="44"/>
      <c r="CK188" s="44"/>
      <c r="CL188" s="44"/>
      <c r="CM188" s="68"/>
      <c r="CN188" s="68"/>
      <c r="CO188" s="121"/>
      <c r="CP188" s="118"/>
      <c r="CQ188" s="71"/>
      <c r="CR188" s="71"/>
      <c r="CS188" s="122"/>
      <c r="CT188" s="221"/>
      <c r="CU188" s="221"/>
      <c r="CV188" s="68"/>
      <c r="CW188" s="44"/>
      <c r="CX188" s="44"/>
      <c r="CY188" s="44"/>
      <c r="CZ188" s="44"/>
      <c r="DA188" s="44"/>
      <c r="DB188" s="44"/>
      <c r="DC188" s="68"/>
      <c r="DD188" s="68"/>
      <c r="DE188" s="121"/>
      <c r="DF188" s="118"/>
      <c r="DG188" s="71"/>
      <c r="DH188" s="71"/>
      <c r="DI188" s="122"/>
      <c r="DJ188" s="221"/>
      <c r="DK188" s="221"/>
      <c r="DL188" s="68"/>
      <c r="DM188" s="44"/>
      <c r="DN188" s="44"/>
      <c r="DO188" s="44"/>
      <c r="DP188" s="44"/>
      <c r="DQ188" s="44"/>
      <c r="DR188" s="44"/>
      <c r="DS188" s="68"/>
      <c r="DT188" s="68"/>
      <c r="DU188" s="121"/>
      <c r="DV188" s="118"/>
      <c r="DW188" s="71"/>
      <c r="DX188" s="71"/>
      <c r="DY188" s="122"/>
      <c r="DZ188" s="221"/>
      <c r="EA188" s="221"/>
      <c r="EB188" s="68"/>
      <c r="EC188" s="44"/>
      <c r="ED188" s="44"/>
      <c r="EE188" s="44"/>
      <c r="EF188" s="44"/>
      <c r="EG188" s="44"/>
      <c r="EH188" s="44"/>
      <c r="EI188" s="68"/>
      <c r="EJ188" s="68"/>
      <c r="EK188" s="121"/>
      <c r="EL188" s="118"/>
      <c r="EM188" s="71"/>
      <c r="EN188" s="71"/>
      <c r="EO188" s="122"/>
      <c r="EP188" s="221"/>
      <c r="EQ188" s="221"/>
      <c r="ER188" s="68"/>
      <c r="ES188" s="44"/>
      <c r="ET188" s="44"/>
      <c r="EU188" s="44"/>
      <c r="EV188" s="44"/>
      <c r="EW188" s="44"/>
      <c r="EX188" s="44"/>
      <c r="EY188" s="68"/>
      <c r="EZ188" s="68"/>
      <c r="FA188" s="121"/>
      <c r="FB188" s="118"/>
      <c r="FC188" s="71"/>
      <c r="FD188" s="71"/>
      <c r="FE188" s="122"/>
      <c r="FF188" s="221"/>
      <c r="FG188" s="221"/>
      <c r="FH188" s="68"/>
      <c r="FI188" s="44"/>
      <c r="FJ188" s="44"/>
      <c r="FK188" s="44"/>
      <c r="FL188" s="44"/>
      <c r="FM188" s="44"/>
      <c r="FN188" s="44"/>
      <c r="FO188" s="68"/>
      <c r="FP188" s="68"/>
      <c r="FQ188" s="121"/>
      <c r="FR188" s="118"/>
      <c r="FS188" s="71"/>
      <c r="FT188" s="71"/>
      <c r="FU188" s="122"/>
      <c r="FV188" s="221"/>
      <c r="FW188" s="221"/>
      <c r="FX188" s="68"/>
      <c r="FY188" s="44"/>
      <c r="FZ188" s="44"/>
      <c r="GA188" s="44"/>
      <c r="GB188" s="44"/>
      <c r="GC188" s="44"/>
      <c r="GD188" s="44"/>
      <c r="GE188" s="68"/>
      <c r="GF188" s="68"/>
      <c r="GG188" s="121"/>
      <c r="GH188" s="118"/>
      <c r="GI188" s="71"/>
      <c r="GJ188" s="71"/>
      <c r="GK188" s="122"/>
      <c r="GL188" s="221"/>
      <c r="GM188" s="221"/>
      <c r="GN188" s="68"/>
      <c r="GO188" s="44"/>
      <c r="GP188" s="44"/>
      <c r="GQ188" s="44"/>
      <c r="GR188" s="44"/>
      <c r="GS188" s="44"/>
      <c r="GT188" s="44"/>
      <c r="GU188" s="68"/>
      <c r="GV188" s="68"/>
      <c r="GW188" s="121"/>
      <c r="GX188" s="118"/>
      <c r="GY188" s="71"/>
      <c r="GZ188" s="71"/>
      <c r="HA188" s="122"/>
      <c r="HB188" s="221"/>
      <c r="HC188" s="221"/>
      <c r="HD188" s="68"/>
      <c r="HE188" s="44"/>
      <c r="HF188" s="44"/>
      <c r="HG188" s="44"/>
      <c r="HH188" s="44"/>
      <c r="HI188" s="44"/>
      <c r="HJ188" s="44"/>
      <c r="HK188" s="68"/>
      <c r="HL188" s="68"/>
      <c r="HM188" s="121"/>
      <c r="HN188" s="118"/>
      <c r="HO188" s="71"/>
      <c r="HP188" s="71"/>
      <c r="HQ188" s="122"/>
      <c r="HR188" s="221"/>
      <c r="HS188" s="221"/>
      <c r="HT188" s="68"/>
      <c r="HU188" s="44"/>
      <c r="HV188" s="44"/>
      <c r="HW188" s="44"/>
      <c r="HX188" s="44"/>
      <c r="HY188" s="44"/>
      <c r="HZ188" s="44"/>
      <c r="IA188" s="68"/>
      <c r="IB188" s="68"/>
      <c r="IC188" s="121"/>
      <c r="ID188" s="118"/>
      <c r="IE188" s="71"/>
      <c r="IF188" s="71"/>
      <c r="IG188" s="122"/>
      <c r="IH188" s="221"/>
      <c r="II188" s="221"/>
      <c r="IJ188" s="68"/>
      <c r="IK188" s="44"/>
      <c r="IL188" s="44"/>
      <c r="IM188" s="44"/>
      <c r="IN188" s="44"/>
      <c r="IO188" s="44"/>
      <c r="IP188" s="44"/>
      <c r="IQ188" s="68"/>
      <c r="IR188" s="68"/>
      <c r="IS188" s="121"/>
      <c r="IT188" s="118"/>
      <c r="IU188" s="71"/>
      <c r="IV188" s="71"/>
    </row>
    <row r="189" spans="1:256" s="160" customFormat="1" ht="13.8" thickBot="1" x14ac:dyDescent="0.3">
      <c r="A189" s="94"/>
      <c r="B189" s="223"/>
      <c r="C189" s="224"/>
      <c r="D189" s="95" t="s">
        <v>3647</v>
      </c>
      <c r="E189" s="98">
        <f>218/3*2</f>
        <v>145</v>
      </c>
      <c r="F189" s="98">
        <f>214/3*2</f>
        <v>143</v>
      </c>
      <c r="G189" s="98">
        <f>216/3*2</f>
        <v>144</v>
      </c>
      <c r="H189" s="55"/>
      <c r="I189" s="62"/>
      <c r="J189" s="60"/>
      <c r="K189" s="413">
        <f t="shared" si="26"/>
        <v>432</v>
      </c>
      <c r="L189" s="414">
        <f>+K188+K189</f>
        <v>859</v>
      </c>
      <c r="M189" s="60">
        <v>26</v>
      </c>
      <c r="N189" s="63">
        <f>+L189/1200</f>
        <v>0.71599999999999997</v>
      </c>
      <c r="O189" s="98">
        <f>1464/3*2</f>
        <v>976</v>
      </c>
      <c r="P189" s="107">
        <f>1222/3*2</f>
        <v>815</v>
      </c>
      <c r="Q189" s="122"/>
      <c r="R189" s="221"/>
      <c r="S189" s="221"/>
      <c r="T189" s="68"/>
      <c r="U189" s="44"/>
      <c r="V189" s="44"/>
      <c r="W189" s="44"/>
      <c r="X189" s="44"/>
      <c r="Y189" s="44"/>
      <c r="Z189" s="44"/>
      <c r="AA189" s="68"/>
      <c r="AB189" s="68"/>
      <c r="AC189" s="44"/>
      <c r="AD189" s="118"/>
      <c r="AE189" s="71"/>
      <c r="AF189" s="71"/>
      <c r="AG189" s="122"/>
      <c r="AH189" s="221"/>
      <c r="AI189" s="221"/>
      <c r="AJ189" s="68"/>
      <c r="AK189" s="44"/>
      <c r="AL189" s="44"/>
      <c r="AM189" s="44"/>
      <c r="AN189" s="44"/>
      <c r="AO189" s="44"/>
      <c r="AP189" s="44"/>
      <c r="AQ189" s="68"/>
      <c r="AR189" s="68"/>
      <c r="AS189" s="44"/>
      <c r="AT189" s="118"/>
      <c r="AU189" s="71"/>
      <c r="AV189" s="71"/>
      <c r="AW189" s="122"/>
      <c r="AX189" s="221"/>
      <c r="AY189" s="221"/>
      <c r="AZ189" s="68"/>
      <c r="BA189" s="44"/>
      <c r="BB189" s="44"/>
      <c r="BC189" s="44"/>
      <c r="BD189" s="44"/>
      <c r="BE189" s="44"/>
      <c r="BF189" s="44"/>
      <c r="BG189" s="68"/>
      <c r="BH189" s="68"/>
      <c r="BI189" s="44"/>
      <c r="BJ189" s="118"/>
      <c r="BK189" s="71"/>
      <c r="BL189" s="71"/>
      <c r="BM189" s="122"/>
      <c r="BN189" s="221"/>
      <c r="BO189" s="221"/>
      <c r="BP189" s="68"/>
      <c r="BQ189" s="44"/>
      <c r="BR189" s="44"/>
      <c r="BS189" s="44"/>
      <c r="BT189" s="44"/>
      <c r="BU189" s="44"/>
      <c r="BV189" s="44"/>
      <c r="BW189" s="68"/>
      <c r="BX189" s="68"/>
      <c r="BY189" s="44"/>
      <c r="BZ189" s="118"/>
      <c r="CA189" s="71"/>
      <c r="CB189" s="71"/>
      <c r="CC189" s="122"/>
      <c r="CD189" s="221"/>
      <c r="CE189" s="221"/>
      <c r="CF189" s="68"/>
      <c r="CG189" s="44"/>
      <c r="CH189" s="44"/>
      <c r="CI189" s="44"/>
      <c r="CJ189" s="44"/>
      <c r="CK189" s="44"/>
      <c r="CL189" s="44"/>
      <c r="CM189" s="68"/>
      <c r="CN189" s="68"/>
      <c r="CO189" s="44"/>
      <c r="CP189" s="118"/>
      <c r="CQ189" s="71"/>
      <c r="CR189" s="71"/>
      <c r="CS189" s="122"/>
      <c r="CT189" s="221"/>
      <c r="CU189" s="221"/>
      <c r="CV189" s="68"/>
      <c r="CW189" s="44"/>
      <c r="CX189" s="44"/>
      <c r="CY189" s="44"/>
      <c r="CZ189" s="44"/>
      <c r="DA189" s="44"/>
      <c r="DB189" s="44"/>
      <c r="DC189" s="68"/>
      <c r="DD189" s="68"/>
      <c r="DE189" s="44"/>
      <c r="DF189" s="118"/>
      <c r="DG189" s="71"/>
      <c r="DH189" s="71"/>
      <c r="DI189" s="122"/>
      <c r="DJ189" s="221"/>
      <c r="DK189" s="221"/>
      <c r="DL189" s="68"/>
      <c r="DM189" s="44"/>
      <c r="DN189" s="44"/>
      <c r="DO189" s="44"/>
      <c r="DP189" s="44"/>
      <c r="DQ189" s="44"/>
      <c r="DR189" s="44"/>
      <c r="DS189" s="68"/>
      <c r="DT189" s="68"/>
      <c r="DU189" s="44"/>
      <c r="DV189" s="118"/>
      <c r="DW189" s="71"/>
      <c r="DX189" s="71"/>
      <c r="DY189" s="122"/>
      <c r="DZ189" s="221"/>
      <c r="EA189" s="221"/>
      <c r="EB189" s="68"/>
      <c r="EC189" s="44"/>
      <c r="ED189" s="44"/>
      <c r="EE189" s="44"/>
      <c r="EF189" s="44"/>
      <c r="EG189" s="44"/>
      <c r="EH189" s="44"/>
      <c r="EI189" s="68"/>
      <c r="EJ189" s="68"/>
      <c r="EK189" s="44"/>
      <c r="EL189" s="118"/>
      <c r="EM189" s="71"/>
      <c r="EN189" s="71"/>
      <c r="EO189" s="122"/>
      <c r="EP189" s="221"/>
      <c r="EQ189" s="221"/>
      <c r="ER189" s="68"/>
      <c r="ES189" s="44"/>
      <c r="ET189" s="44"/>
      <c r="EU189" s="44"/>
      <c r="EV189" s="44"/>
      <c r="EW189" s="44"/>
      <c r="EX189" s="44"/>
      <c r="EY189" s="68"/>
      <c r="EZ189" s="68"/>
      <c r="FA189" s="44"/>
      <c r="FB189" s="118"/>
      <c r="FC189" s="71"/>
      <c r="FD189" s="71"/>
      <c r="FE189" s="122"/>
      <c r="FF189" s="221"/>
      <c r="FG189" s="221"/>
      <c r="FH189" s="68"/>
      <c r="FI189" s="44"/>
      <c r="FJ189" s="44"/>
      <c r="FK189" s="44"/>
      <c r="FL189" s="44"/>
      <c r="FM189" s="44"/>
      <c r="FN189" s="44"/>
      <c r="FO189" s="68"/>
      <c r="FP189" s="68"/>
      <c r="FQ189" s="44"/>
      <c r="FR189" s="118"/>
      <c r="FS189" s="71"/>
      <c r="FT189" s="71"/>
      <c r="FU189" s="122"/>
      <c r="FV189" s="221"/>
      <c r="FW189" s="221"/>
      <c r="FX189" s="68"/>
      <c r="FY189" s="44"/>
      <c r="FZ189" s="44"/>
      <c r="GA189" s="44"/>
      <c r="GB189" s="44"/>
      <c r="GC189" s="44"/>
      <c r="GD189" s="44"/>
      <c r="GE189" s="68"/>
      <c r="GF189" s="68"/>
      <c r="GG189" s="44"/>
      <c r="GH189" s="118"/>
      <c r="GI189" s="71"/>
      <c r="GJ189" s="71"/>
      <c r="GK189" s="122"/>
      <c r="GL189" s="221"/>
      <c r="GM189" s="221"/>
      <c r="GN189" s="68"/>
      <c r="GO189" s="44"/>
      <c r="GP189" s="44"/>
      <c r="GQ189" s="44"/>
      <c r="GR189" s="44"/>
      <c r="GS189" s="44"/>
      <c r="GT189" s="44"/>
      <c r="GU189" s="68"/>
      <c r="GV189" s="68"/>
      <c r="GW189" s="44"/>
      <c r="GX189" s="118"/>
      <c r="GY189" s="71"/>
      <c r="GZ189" s="71"/>
      <c r="HA189" s="122"/>
      <c r="HB189" s="221"/>
      <c r="HC189" s="221"/>
      <c r="HD189" s="68"/>
      <c r="HE189" s="44"/>
      <c r="HF189" s="44"/>
      <c r="HG189" s="44"/>
      <c r="HH189" s="44"/>
      <c r="HI189" s="44"/>
      <c r="HJ189" s="44"/>
      <c r="HK189" s="68"/>
      <c r="HL189" s="68"/>
      <c r="HM189" s="44"/>
      <c r="HN189" s="118"/>
      <c r="HO189" s="71"/>
      <c r="HP189" s="71"/>
      <c r="HQ189" s="122"/>
      <c r="HR189" s="221"/>
      <c r="HS189" s="221"/>
      <c r="HT189" s="68"/>
      <c r="HU189" s="44"/>
      <c r="HV189" s="44"/>
      <c r="HW189" s="44"/>
      <c r="HX189" s="44"/>
      <c r="HY189" s="44"/>
      <c r="HZ189" s="44"/>
      <c r="IA189" s="68"/>
      <c r="IB189" s="68"/>
      <c r="IC189" s="44"/>
      <c r="ID189" s="118"/>
      <c r="IE189" s="71"/>
      <c r="IF189" s="71"/>
      <c r="IG189" s="122"/>
      <c r="IH189" s="221"/>
      <c r="II189" s="221"/>
      <c r="IJ189" s="68"/>
      <c r="IK189" s="44"/>
      <c r="IL189" s="44"/>
      <c r="IM189" s="44"/>
      <c r="IN189" s="44"/>
      <c r="IO189" s="44"/>
      <c r="IP189" s="44"/>
      <c r="IQ189" s="68"/>
      <c r="IR189" s="68"/>
      <c r="IS189" s="44"/>
      <c r="IT189" s="118"/>
      <c r="IU189" s="71"/>
      <c r="IV189" s="71"/>
    </row>
    <row r="190" spans="1:256" s="160" customFormat="1" x14ac:dyDescent="0.25">
      <c r="A190" s="34">
        <v>41457</v>
      </c>
      <c r="B190" s="226" t="s">
        <v>3643</v>
      </c>
      <c r="C190" s="228" t="s">
        <v>2699</v>
      </c>
      <c r="D190" s="108" t="s">
        <v>3648</v>
      </c>
      <c r="E190" s="112">
        <f>213/3*2</f>
        <v>142</v>
      </c>
      <c r="F190" s="112">
        <f>208/3*2</f>
        <v>139</v>
      </c>
      <c r="G190" s="112">
        <f>206/3*2</f>
        <v>137</v>
      </c>
      <c r="H190" s="35"/>
      <c r="I190" s="38"/>
      <c r="J190" s="36"/>
      <c r="K190" s="411">
        <f t="shared" ref="K190:K199" si="27">SUM(E190:J190)</f>
        <v>418</v>
      </c>
      <c r="L190" s="412"/>
      <c r="M190" s="111">
        <v>24</v>
      </c>
      <c r="N190" s="39"/>
      <c r="O190" s="112"/>
      <c r="P190" s="105"/>
      <c r="Q190" s="122"/>
      <c r="R190" s="428"/>
      <c r="S190" s="221"/>
      <c r="T190" s="68"/>
      <c r="U190" s="44"/>
      <c r="V190" s="44"/>
      <c r="W190" s="44"/>
      <c r="X190" s="44"/>
      <c r="Y190" s="44"/>
      <c r="Z190" s="44"/>
      <c r="AA190" s="68"/>
      <c r="AB190" s="68"/>
      <c r="AC190" s="121"/>
      <c r="AD190" s="118"/>
      <c r="AE190" s="71"/>
      <c r="AF190" s="71"/>
      <c r="AG190" s="122"/>
      <c r="AH190" s="221"/>
      <c r="AI190" s="221"/>
      <c r="AJ190" s="68"/>
      <c r="AK190" s="44"/>
      <c r="AL190" s="44"/>
      <c r="AM190" s="44"/>
      <c r="AN190" s="44"/>
      <c r="AO190" s="44"/>
      <c r="AP190" s="44"/>
      <c r="AQ190" s="68"/>
      <c r="AR190" s="68"/>
      <c r="AS190" s="121"/>
      <c r="AT190" s="118"/>
      <c r="AU190" s="71"/>
      <c r="AV190" s="71"/>
      <c r="AW190" s="122"/>
      <c r="AX190" s="221"/>
      <c r="AY190" s="221"/>
      <c r="AZ190" s="68"/>
      <c r="BA190" s="44"/>
      <c r="BB190" s="44"/>
      <c r="BC190" s="44"/>
      <c r="BD190" s="44"/>
      <c r="BE190" s="44"/>
      <c r="BF190" s="44"/>
      <c r="BG190" s="68"/>
      <c r="BH190" s="68"/>
      <c r="BI190" s="121"/>
      <c r="BJ190" s="118"/>
      <c r="BK190" s="71"/>
      <c r="BL190" s="71"/>
      <c r="BM190" s="122"/>
      <c r="BN190" s="221"/>
      <c r="BO190" s="221"/>
      <c r="BP190" s="68"/>
      <c r="BQ190" s="44"/>
      <c r="BR190" s="44"/>
      <c r="BS190" s="44"/>
      <c r="BT190" s="44"/>
      <c r="BU190" s="44"/>
      <c r="BV190" s="44"/>
      <c r="BW190" s="68"/>
      <c r="BX190" s="68"/>
      <c r="BY190" s="121"/>
      <c r="BZ190" s="118"/>
      <c r="CA190" s="71"/>
      <c r="CB190" s="71"/>
      <c r="CC190" s="122"/>
      <c r="CD190" s="221"/>
      <c r="CE190" s="221"/>
      <c r="CF190" s="68"/>
      <c r="CG190" s="44"/>
      <c r="CH190" s="44"/>
      <c r="CI190" s="44"/>
      <c r="CJ190" s="44"/>
      <c r="CK190" s="44"/>
      <c r="CL190" s="44"/>
      <c r="CM190" s="68"/>
      <c r="CN190" s="68"/>
      <c r="CO190" s="121"/>
      <c r="CP190" s="118"/>
      <c r="CQ190" s="71"/>
      <c r="CR190" s="71"/>
      <c r="CS190" s="122"/>
      <c r="CT190" s="221"/>
      <c r="CU190" s="221"/>
      <c r="CV190" s="68"/>
      <c r="CW190" s="44"/>
      <c r="CX190" s="44"/>
      <c r="CY190" s="44"/>
      <c r="CZ190" s="44"/>
      <c r="DA190" s="44"/>
      <c r="DB190" s="44"/>
      <c r="DC190" s="68"/>
      <c r="DD190" s="68"/>
      <c r="DE190" s="121"/>
      <c r="DF190" s="118"/>
      <c r="DG190" s="71"/>
      <c r="DH190" s="71"/>
      <c r="DI190" s="122"/>
      <c r="DJ190" s="221"/>
      <c r="DK190" s="221"/>
      <c r="DL190" s="68"/>
      <c r="DM190" s="44"/>
      <c r="DN190" s="44"/>
      <c r="DO190" s="44"/>
      <c r="DP190" s="44"/>
      <c r="DQ190" s="44"/>
      <c r="DR190" s="44"/>
      <c r="DS190" s="68"/>
      <c r="DT190" s="68"/>
      <c r="DU190" s="121"/>
      <c r="DV190" s="118"/>
      <c r="DW190" s="71"/>
      <c r="DX190" s="71"/>
      <c r="DY190" s="122"/>
      <c r="DZ190" s="221"/>
      <c r="EA190" s="221"/>
      <c r="EB190" s="68"/>
      <c r="EC190" s="44"/>
      <c r="ED190" s="44"/>
      <c r="EE190" s="44"/>
      <c r="EF190" s="44"/>
      <c r="EG190" s="44"/>
      <c r="EH190" s="44"/>
      <c r="EI190" s="68"/>
      <c r="EJ190" s="68"/>
      <c r="EK190" s="121"/>
      <c r="EL190" s="118"/>
      <c r="EM190" s="71"/>
      <c r="EN190" s="71"/>
      <c r="EO190" s="122"/>
      <c r="EP190" s="221"/>
      <c r="EQ190" s="221"/>
      <c r="ER190" s="68"/>
      <c r="ES190" s="44"/>
      <c r="ET190" s="44"/>
      <c r="EU190" s="44"/>
      <c r="EV190" s="44"/>
      <c r="EW190" s="44"/>
      <c r="EX190" s="44"/>
      <c r="EY190" s="68"/>
      <c r="EZ190" s="68"/>
      <c r="FA190" s="121"/>
      <c r="FB190" s="118"/>
      <c r="FC190" s="71"/>
      <c r="FD190" s="71"/>
      <c r="FE190" s="122"/>
      <c r="FF190" s="221"/>
      <c r="FG190" s="221"/>
      <c r="FH190" s="68"/>
      <c r="FI190" s="44"/>
      <c r="FJ190" s="44"/>
      <c r="FK190" s="44"/>
      <c r="FL190" s="44"/>
      <c r="FM190" s="44"/>
      <c r="FN190" s="44"/>
      <c r="FO190" s="68"/>
      <c r="FP190" s="68"/>
      <c r="FQ190" s="121"/>
      <c r="FR190" s="118"/>
      <c r="FS190" s="71"/>
      <c r="FT190" s="71"/>
      <c r="FU190" s="122"/>
      <c r="FV190" s="221"/>
      <c r="FW190" s="221"/>
      <c r="FX190" s="68"/>
      <c r="FY190" s="44"/>
      <c r="FZ190" s="44"/>
      <c r="GA190" s="44"/>
      <c r="GB190" s="44"/>
      <c r="GC190" s="44"/>
      <c r="GD190" s="44"/>
      <c r="GE190" s="68"/>
      <c r="GF190" s="68"/>
      <c r="GG190" s="121"/>
      <c r="GH190" s="118"/>
      <c r="GI190" s="71"/>
      <c r="GJ190" s="71"/>
      <c r="GK190" s="122"/>
      <c r="GL190" s="221"/>
      <c r="GM190" s="221"/>
      <c r="GN190" s="68"/>
      <c r="GO190" s="44"/>
      <c r="GP190" s="44"/>
      <c r="GQ190" s="44"/>
      <c r="GR190" s="44"/>
      <c r="GS190" s="44"/>
      <c r="GT190" s="44"/>
      <c r="GU190" s="68"/>
      <c r="GV190" s="68"/>
      <c r="GW190" s="121"/>
      <c r="GX190" s="118"/>
      <c r="GY190" s="71"/>
      <c r="GZ190" s="71"/>
      <c r="HA190" s="122"/>
      <c r="HB190" s="221"/>
      <c r="HC190" s="221"/>
      <c r="HD190" s="68"/>
      <c r="HE190" s="44"/>
      <c r="HF190" s="44"/>
      <c r="HG190" s="44"/>
      <c r="HH190" s="44"/>
      <c r="HI190" s="44"/>
      <c r="HJ190" s="44"/>
      <c r="HK190" s="68"/>
      <c r="HL190" s="68"/>
      <c r="HM190" s="121"/>
      <c r="HN190" s="118"/>
      <c r="HO190" s="71"/>
      <c r="HP190" s="71"/>
      <c r="HQ190" s="122"/>
      <c r="HR190" s="221"/>
      <c r="HS190" s="221"/>
      <c r="HT190" s="68"/>
      <c r="HU190" s="44"/>
      <c r="HV190" s="44"/>
      <c r="HW190" s="44"/>
      <c r="HX190" s="44"/>
      <c r="HY190" s="44"/>
      <c r="HZ190" s="44"/>
      <c r="IA190" s="68"/>
      <c r="IB190" s="68"/>
      <c r="IC190" s="121"/>
      <c r="ID190" s="118"/>
      <c r="IE190" s="71"/>
      <c r="IF190" s="71"/>
      <c r="IG190" s="122"/>
      <c r="IH190" s="221"/>
      <c r="II190" s="221"/>
      <c r="IJ190" s="68"/>
      <c r="IK190" s="44"/>
      <c r="IL190" s="44"/>
      <c r="IM190" s="44"/>
      <c r="IN190" s="44"/>
      <c r="IO190" s="44"/>
      <c r="IP190" s="44"/>
      <c r="IQ190" s="68"/>
      <c r="IR190" s="68"/>
      <c r="IS190" s="121"/>
      <c r="IT190" s="118"/>
      <c r="IU190" s="71"/>
      <c r="IV190" s="71"/>
    </row>
    <row r="191" spans="1:256" s="160" customFormat="1" ht="13.8" thickBot="1" x14ac:dyDescent="0.3">
      <c r="A191" s="94"/>
      <c r="B191" s="223"/>
      <c r="C191" s="224"/>
      <c r="D191" s="95" t="s">
        <v>3649</v>
      </c>
      <c r="E191" s="98">
        <f>209/3*2</f>
        <v>139</v>
      </c>
      <c r="F191" s="98">
        <f>206/3*2</f>
        <v>137</v>
      </c>
      <c r="G191" s="98">
        <f>201/3*2</f>
        <v>134</v>
      </c>
      <c r="H191" s="55"/>
      <c r="I191" s="62"/>
      <c r="J191" s="60"/>
      <c r="K191" s="413">
        <f t="shared" si="27"/>
        <v>410</v>
      </c>
      <c r="L191" s="414">
        <f>+K190+K191</f>
        <v>828</v>
      </c>
      <c r="M191" s="60">
        <v>26</v>
      </c>
      <c r="N191" s="63">
        <f>+L191/1200</f>
        <v>0.69</v>
      </c>
      <c r="O191" s="98">
        <v>976</v>
      </c>
      <c r="P191" s="107">
        <v>815</v>
      </c>
      <c r="Q191" s="122"/>
      <c r="R191" s="221"/>
      <c r="S191" s="221"/>
      <c r="T191" s="68"/>
      <c r="U191" s="44"/>
      <c r="V191" s="44"/>
      <c r="W191" s="44"/>
      <c r="X191" s="44"/>
      <c r="Y191" s="44"/>
      <c r="Z191" s="44"/>
      <c r="AA191" s="68"/>
      <c r="AB191" s="68"/>
      <c r="AC191" s="44"/>
      <c r="AD191" s="118"/>
      <c r="AE191" s="71"/>
      <c r="AF191" s="71"/>
      <c r="AG191" s="122"/>
      <c r="AH191" s="221"/>
      <c r="AI191" s="221"/>
      <c r="AJ191" s="68"/>
      <c r="AK191" s="44"/>
      <c r="AL191" s="44"/>
      <c r="AM191" s="44"/>
      <c r="AN191" s="44"/>
      <c r="AO191" s="44"/>
      <c r="AP191" s="44"/>
      <c r="AQ191" s="68"/>
      <c r="AR191" s="68"/>
      <c r="AS191" s="44"/>
      <c r="AT191" s="118"/>
      <c r="AU191" s="71"/>
      <c r="AV191" s="71"/>
      <c r="AW191" s="122"/>
      <c r="AX191" s="221"/>
      <c r="AY191" s="221"/>
      <c r="AZ191" s="68"/>
      <c r="BA191" s="44"/>
      <c r="BB191" s="44"/>
      <c r="BC191" s="44"/>
      <c r="BD191" s="44"/>
      <c r="BE191" s="44"/>
      <c r="BF191" s="44"/>
      <c r="BG191" s="68"/>
      <c r="BH191" s="68"/>
      <c r="BI191" s="44"/>
      <c r="BJ191" s="118"/>
      <c r="BK191" s="71"/>
      <c r="BL191" s="71"/>
      <c r="BM191" s="122"/>
      <c r="BN191" s="221"/>
      <c r="BO191" s="221"/>
      <c r="BP191" s="68"/>
      <c r="BQ191" s="44"/>
      <c r="BR191" s="44"/>
      <c r="BS191" s="44"/>
      <c r="BT191" s="44"/>
      <c r="BU191" s="44"/>
      <c r="BV191" s="44"/>
      <c r="BW191" s="68"/>
      <c r="BX191" s="68"/>
      <c r="BY191" s="44"/>
      <c r="BZ191" s="118"/>
      <c r="CA191" s="71"/>
      <c r="CB191" s="71"/>
      <c r="CC191" s="122"/>
      <c r="CD191" s="221"/>
      <c r="CE191" s="221"/>
      <c r="CF191" s="68"/>
      <c r="CG191" s="44"/>
      <c r="CH191" s="44"/>
      <c r="CI191" s="44"/>
      <c r="CJ191" s="44"/>
      <c r="CK191" s="44"/>
      <c r="CL191" s="44"/>
      <c r="CM191" s="68"/>
      <c r="CN191" s="68"/>
      <c r="CO191" s="44"/>
      <c r="CP191" s="118"/>
      <c r="CQ191" s="71"/>
      <c r="CR191" s="71"/>
      <c r="CS191" s="122"/>
      <c r="CT191" s="221"/>
      <c r="CU191" s="221"/>
      <c r="CV191" s="68"/>
      <c r="CW191" s="44"/>
      <c r="CX191" s="44"/>
      <c r="CY191" s="44"/>
      <c r="CZ191" s="44"/>
      <c r="DA191" s="44"/>
      <c r="DB191" s="44"/>
      <c r="DC191" s="68"/>
      <c r="DD191" s="68"/>
      <c r="DE191" s="44"/>
      <c r="DF191" s="118"/>
      <c r="DG191" s="71"/>
      <c r="DH191" s="71"/>
      <c r="DI191" s="122"/>
      <c r="DJ191" s="221"/>
      <c r="DK191" s="221"/>
      <c r="DL191" s="68"/>
      <c r="DM191" s="44"/>
      <c r="DN191" s="44"/>
      <c r="DO191" s="44"/>
      <c r="DP191" s="44"/>
      <c r="DQ191" s="44"/>
      <c r="DR191" s="44"/>
      <c r="DS191" s="68"/>
      <c r="DT191" s="68"/>
      <c r="DU191" s="44"/>
      <c r="DV191" s="118"/>
      <c r="DW191" s="71"/>
      <c r="DX191" s="71"/>
      <c r="DY191" s="122"/>
      <c r="DZ191" s="221"/>
      <c r="EA191" s="221"/>
      <c r="EB191" s="68"/>
      <c r="EC191" s="44"/>
      <c r="ED191" s="44"/>
      <c r="EE191" s="44"/>
      <c r="EF191" s="44"/>
      <c r="EG191" s="44"/>
      <c r="EH191" s="44"/>
      <c r="EI191" s="68"/>
      <c r="EJ191" s="68"/>
      <c r="EK191" s="44"/>
      <c r="EL191" s="118"/>
      <c r="EM191" s="71"/>
      <c r="EN191" s="71"/>
      <c r="EO191" s="122"/>
      <c r="EP191" s="221"/>
      <c r="EQ191" s="221"/>
      <c r="ER191" s="68"/>
      <c r="ES191" s="44"/>
      <c r="ET191" s="44"/>
      <c r="EU191" s="44"/>
      <c r="EV191" s="44"/>
      <c r="EW191" s="44"/>
      <c r="EX191" s="44"/>
      <c r="EY191" s="68"/>
      <c r="EZ191" s="68"/>
      <c r="FA191" s="44"/>
      <c r="FB191" s="118"/>
      <c r="FC191" s="71"/>
      <c r="FD191" s="71"/>
      <c r="FE191" s="122"/>
      <c r="FF191" s="221"/>
      <c r="FG191" s="221"/>
      <c r="FH191" s="68"/>
      <c r="FI191" s="44"/>
      <c r="FJ191" s="44"/>
      <c r="FK191" s="44"/>
      <c r="FL191" s="44"/>
      <c r="FM191" s="44"/>
      <c r="FN191" s="44"/>
      <c r="FO191" s="68"/>
      <c r="FP191" s="68"/>
      <c r="FQ191" s="44"/>
      <c r="FR191" s="118"/>
      <c r="FS191" s="71"/>
      <c r="FT191" s="71"/>
      <c r="FU191" s="122"/>
      <c r="FV191" s="221"/>
      <c r="FW191" s="221"/>
      <c r="FX191" s="68"/>
      <c r="FY191" s="44"/>
      <c r="FZ191" s="44"/>
      <c r="GA191" s="44"/>
      <c r="GB191" s="44"/>
      <c r="GC191" s="44"/>
      <c r="GD191" s="44"/>
      <c r="GE191" s="68"/>
      <c r="GF191" s="68"/>
      <c r="GG191" s="44"/>
      <c r="GH191" s="118"/>
      <c r="GI191" s="71"/>
      <c r="GJ191" s="71"/>
      <c r="GK191" s="122"/>
      <c r="GL191" s="221"/>
      <c r="GM191" s="221"/>
      <c r="GN191" s="68"/>
      <c r="GO191" s="44"/>
      <c r="GP191" s="44"/>
      <c r="GQ191" s="44"/>
      <c r="GR191" s="44"/>
      <c r="GS191" s="44"/>
      <c r="GT191" s="44"/>
      <c r="GU191" s="68"/>
      <c r="GV191" s="68"/>
      <c r="GW191" s="44"/>
      <c r="GX191" s="118"/>
      <c r="GY191" s="71"/>
      <c r="GZ191" s="71"/>
      <c r="HA191" s="122"/>
      <c r="HB191" s="221"/>
      <c r="HC191" s="221"/>
      <c r="HD191" s="68"/>
      <c r="HE191" s="44"/>
      <c r="HF191" s="44"/>
      <c r="HG191" s="44"/>
      <c r="HH191" s="44"/>
      <c r="HI191" s="44"/>
      <c r="HJ191" s="44"/>
      <c r="HK191" s="68"/>
      <c r="HL191" s="68"/>
      <c r="HM191" s="44"/>
      <c r="HN191" s="118"/>
      <c r="HO191" s="71"/>
      <c r="HP191" s="71"/>
      <c r="HQ191" s="122"/>
      <c r="HR191" s="221"/>
      <c r="HS191" s="221"/>
      <c r="HT191" s="68"/>
      <c r="HU191" s="44"/>
      <c r="HV191" s="44"/>
      <c r="HW191" s="44"/>
      <c r="HX191" s="44"/>
      <c r="HY191" s="44"/>
      <c r="HZ191" s="44"/>
      <c r="IA191" s="68"/>
      <c r="IB191" s="68"/>
      <c r="IC191" s="44"/>
      <c r="ID191" s="118"/>
      <c r="IE191" s="71"/>
      <c r="IF191" s="71"/>
      <c r="IG191" s="122"/>
      <c r="IH191" s="221"/>
      <c r="II191" s="221"/>
      <c r="IJ191" s="68"/>
      <c r="IK191" s="44"/>
      <c r="IL191" s="44"/>
      <c r="IM191" s="44"/>
      <c r="IN191" s="44"/>
      <c r="IO191" s="44"/>
      <c r="IP191" s="44"/>
      <c r="IQ191" s="68"/>
      <c r="IR191" s="68"/>
      <c r="IS191" s="44"/>
      <c r="IT191" s="118"/>
      <c r="IU191" s="71"/>
      <c r="IV191" s="71"/>
    </row>
    <row r="192" spans="1:256" s="160" customFormat="1" x14ac:dyDescent="0.25">
      <c r="A192" s="34">
        <v>41821</v>
      </c>
      <c r="B192" s="226" t="s">
        <v>4297</v>
      </c>
      <c r="C192" s="569" t="s">
        <v>2699</v>
      </c>
      <c r="D192" s="568" t="s">
        <v>4295</v>
      </c>
      <c r="E192" s="112">
        <f>221/3*2</f>
        <v>147</v>
      </c>
      <c r="F192" s="112">
        <f>224/3*2</f>
        <v>149</v>
      </c>
      <c r="G192" s="112">
        <f>223/3*2</f>
        <v>149</v>
      </c>
      <c r="H192" s="583"/>
      <c r="I192" s="38"/>
      <c r="J192" s="36"/>
      <c r="K192" s="411">
        <f t="shared" si="27"/>
        <v>445</v>
      </c>
      <c r="L192" s="412"/>
      <c r="M192" s="111">
        <v>9</v>
      </c>
      <c r="N192" s="39"/>
      <c r="O192" s="112"/>
      <c r="P192" s="105"/>
      <c r="Q192" s="122"/>
      <c r="R192" s="428"/>
      <c r="S192" s="221"/>
      <c r="T192" s="68"/>
      <c r="U192" s="44"/>
      <c r="V192" s="44"/>
      <c r="W192" s="44"/>
      <c r="X192" s="44"/>
      <c r="Y192" s="44"/>
      <c r="Z192" s="44"/>
      <c r="AA192" s="68"/>
      <c r="AB192" s="68"/>
      <c r="AC192" s="121"/>
      <c r="AD192" s="118"/>
      <c r="AE192" s="71"/>
      <c r="AF192" s="71"/>
      <c r="AG192" s="122"/>
      <c r="AH192" s="221"/>
      <c r="AI192" s="221"/>
      <c r="AJ192" s="68"/>
      <c r="AK192" s="44"/>
      <c r="AL192" s="44"/>
      <c r="AM192" s="44"/>
      <c r="AN192" s="44"/>
      <c r="AO192" s="44"/>
      <c r="AP192" s="44"/>
      <c r="AQ192" s="68"/>
      <c r="AR192" s="68"/>
      <c r="AS192" s="121"/>
      <c r="AT192" s="118"/>
      <c r="AU192" s="71"/>
      <c r="AV192" s="71"/>
      <c r="AW192" s="122"/>
      <c r="AX192" s="221"/>
      <c r="AY192" s="221"/>
      <c r="AZ192" s="68"/>
      <c r="BA192" s="44"/>
      <c r="BB192" s="44"/>
      <c r="BC192" s="44"/>
      <c r="BD192" s="44"/>
      <c r="BE192" s="44"/>
      <c r="BF192" s="44"/>
      <c r="BG192" s="68"/>
      <c r="BH192" s="68"/>
      <c r="BI192" s="121"/>
      <c r="BJ192" s="118"/>
      <c r="BK192" s="71"/>
      <c r="BL192" s="71"/>
      <c r="BM192" s="122"/>
      <c r="BN192" s="221"/>
      <c r="BO192" s="221"/>
      <c r="BP192" s="68"/>
      <c r="BQ192" s="44"/>
      <c r="BR192" s="44"/>
      <c r="BS192" s="44"/>
      <c r="BT192" s="44"/>
      <c r="BU192" s="44"/>
      <c r="BV192" s="44"/>
      <c r="BW192" s="68"/>
      <c r="BX192" s="68"/>
      <c r="BY192" s="121"/>
      <c r="BZ192" s="118"/>
      <c r="CA192" s="71"/>
      <c r="CB192" s="71"/>
      <c r="CC192" s="122"/>
      <c r="CD192" s="221"/>
      <c r="CE192" s="221"/>
      <c r="CF192" s="68"/>
      <c r="CG192" s="44"/>
      <c r="CH192" s="44"/>
      <c r="CI192" s="44"/>
      <c r="CJ192" s="44"/>
      <c r="CK192" s="44"/>
      <c r="CL192" s="44"/>
      <c r="CM192" s="68"/>
      <c r="CN192" s="68"/>
      <c r="CO192" s="121"/>
      <c r="CP192" s="118"/>
      <c r="CQ192" s="71"/>
      <c r="CR192" s="71"/>
      <c r="CS192" s="122"/>
      <c r="CT192" s="221"/>
      <c r="CU192" s="221"/>
      <c r="CV192" s="68"/>
      <c r="CW192" s="44"/>
      <c r="CX192" s="44"/>
      <c r="CY192" s="44"/>
      <c r="CZ192" s="44"/>
      <c r="DA192" s="44"/>
      <c r="DB192" s="44"/>
      <c r="DC192" s="68"/>
      <c r="DD192" s="68"/>
      <c r="DE192" s="121"/>
      <c r="DF192" s="118"/>
      <c r="DG192" s="71"/>
      <c r="DH192" s="71"/>
      <c r="DI192" s="122"/>
      <c r="DJ192" s="221"/>
      <c r="DK192" s="221"/>
      <c r="DL192" s="68"/>
      <c r="DM192" s="44"/>
      <c r="DN192" s="44"/>
      <c r="DO192" s="44"/>
      <c r="DP192" s="44"/>
      <c r="DQ192" s="44"/>
      <c r="DR192" s="44"/>
      <c r="DS192" s="68"/>
      <c r="DT192" s="68"/>
      <c r="DU192" s="121"/>
      <c r="DV192" s="118"/>
      <c r="DW192" s="71"/>
      <c r="DX192" s="71"/>
      <c r="DY192" s="122"/>
      <c r="DZ192" s="221"/>
      <c r="EA192" s="221"/>
      <c r="EB192" s="68"/>
      <c r="EC192" s="44"/>
      <c r="ED192" s="44"/>
      <c r="EE192" s="44"/>
      <c r="EF192" s="44"/>
      <c r="EG192" s="44"/>
      <c r="EH192" s="44"/>
      <c r="EI192" s="68"/>
      <c r="EJ192" s="68"/>
      <c r="EK192" s="121"/>
      <c r="EL192" s="118"/>
      <c r="EM192" s="71"/>
      <c r="EN192" s="71"/>
      <c r="EO192" s="122"/>
      <c r="EP192" s="221"/>
      <c r="EQ192" s="221"/>
      <c r="ER192" s="68"/>
      <c r="ES192" s="44"/>
      <c r="ET192" s="44"/>
      <c r="EU192" s="44"/>
      <c r="EV192" s="44"/>
      <c r="EW192" s="44"/>
      <c r="EX192" s="44"/>
      <c r="EY192" s="68"/>
      <c r="EZ192" s="68"/>
      <c r="FA192" s="121"/>
      <c r="FB192" s="118"/>
      <c r="FC192" s="71"/>
      <c r="FD192" s="71"/>
      <c r="FE192" s="122"/>
      <c r="FF192" s="221"/>
      <c r="FG192" s="221"/>
      <c r="FH192" s="68"/>
      <c r="FI192" s="44"/>
      <c r="FJ192" s="44"/>
      <c r="FK192" s="44"/>
      <c r="FL192" s="44"/>
      <c r="FM192" s="44"/>
      <c r="FN192" s="44"/>
      <c r="FO192" s="68"/>
      <c r="FP192" s="68"/>
      <c r="FQ192" s="121"/>
      <c r="FR192" s="118"/>
      <c r="FS192" s="71"/>
      <c r="FT192" s="71"/>
      <c r="FU192" s="122"/>
      <c r="FV192" s="221"/>
      <c r="FW192" s="221"/>
      <c r="FX192" s="68"/>
      <c r="FY192" s="44"/>
      <c r="FZ192" s="44"/>
      <c r="GA192" s="44"/>
      <c r="GB192" s="44"/>
      <c r="GC192" s="44"/>
      <c r="GD192" s="44"/>
      <c r="GE192" s="68"/>
      <c r="GF192" s="68"/>
      <c r="GG192" s="121"/>
      <c r="GH192" s="118"/>
      <c r="GI192" s="71"/>
      <c r="GJ192" s="71"/>
      <c r="GK192" s="122"/>
      <c r="GL192" s="221"/>
      <c r="GM192" s="221"/>
      <c r="GN192" s="68"/>
      <c r="GO192" s="44"/>
      <c r="GP192" s="44"/>
      <c r="GQ192" s="44"/>
      <c r="GR192" s="44"/>
      <c r="GS192" s="44"/>
      <c r="GT192" s="44"/>
      <c r="GU192" s="68"/>
      <c r="GV192" s="68"/>
      <c r="GW192" s="121"/>
      <c r="GX192" s="118"/>
      <c r="GY192" s="71"/>
      <c r="GZ192" s="71"/>
      <c r="HA192" s="122"/>
      <c r="HB192" s="221"/>
      <c r="HC192" s="221"/>
      <c r="HD192" s="68"/>
      <c r="HE192" s="44"/>
      <c r="HF192" s="44"/>
      <c r="HG192" s="44"/>
      <c r="HH192" s="44"/>
      <c r="HI192" s="44"/>
      <c r="HJ192" s="44"/>
      <c r="HK192" s="68"/>
      <c r="HL192" s="68"/>
      <c r="HM192" s="121"/>
      <c r="HN192" s="118"/>
      <c r="HO192" s="71"/>
      <c r="HP192" s="71"/>
      <c r="HQ192" s="122"/>
      <c r="HR192" s="221"/>
      <c r="HS192" s="221"/>
      <c r="HT192" s="68"/>
      <c r="HU192" s="44"/>
      <c r="HV192" s="44"/>
      <c r="HW192" s="44"/>
      <c r="HX192" s="44"/>
      <c r="HY192" s="44"/>
      <c r="HZ192" s="44"/>
      <c r="IA192" s="68"/>
      <c r="IB192" s="68"/>
      <c r="IC192" s="121"/>
      <c r="ID192" s="118"/>
      <c r="IE192" s="71"/>
      <c r="IF192" s="71"/>
      <c r="IG192" s="122"/>
      <c r="IH192" s="221"/>
      <c r="II192" s="221"/>
      <c r="IJ192" s="68"/>
      <c r="IK192" s="44"/>
      <c r="IL192" s="44"/>
      <c r="IM192" s="44"/>
      <c r="IN192" s="44"/>
      <c r="IO192" s="44"/>
      <c r="IP192" s="44"/>
      <c r="IQ192" s="68"/>
      <c r="IR192" s="68"/>
      <c r="IS192" s="121"/>
      <c r="IT192" s="118"/>
      <c r="IU192" s="71"/>
      <c r="IV192" s="71"/>
    </row>
    <row r="193" spans="1:256" s="160" customFormat="1" ht="13.8" thickBot="1" x14ac:dyDescent="0.3">
      <c r="A193" s="94"/>
      <c r="B193" s="223"/>
      <c r="C193" s="224"/>
      <c r="D193" s="485" t="s">
        <v>4296</v>
      </c>
      <c r="E193" s="98">
        <f>223/3*2</f>
        <v>149</v>
      </c>
      <c r="F193" s="98">
        <f>225/3*2</f>
        <v>150</v>
      </c>
      <c r="G193" s="98">
        <f>220/3*2</f>
        <v>147</v>
      </c>
      <c r="H193" s="55"/>
      <c r="I193" s="62"/>
      <c r="J193" s="60"/>
      <c r="K193" s="413">
        <f t="shared" si="27"/>
        <v>446</v>
      </c>
      <c r="L193" s="414">
        <f>+K192+K193</f>
        <v>891</v>
      </c>
      <c r="M193" s="60">
        <v>27</v>
      </c>
      <c r="N193" s="63">
        <f>+L193/1200</f>
        <v>0.74299999999999999</v>
      </c>
      <c r="O193" s="98">
        <f>1456/3*2</f>
        <v>971</v>
      </c>
      <c r="P193" s="107">
        <f>1071/3*2</f>
        <v>714</v>
      </c>
      <c r="Q193" s="122"/>
      <c r="R193" s="221"/>
      <c r="S193" s="221"/>
      <c r="T193" s="68"/>
      <c r="U193" s="44"/>
      <c r="V193" s="44"/>
      <c r="W193" s="44"/>
      <c r="X193" s="44"/>
      <c r="Y193" s="44"/>
      <c r="Z193" s="44"/>
      <c r="AA193" s="68"/>
      <c r="AB193" s="68"/>
      <c r="AC193" s="44"/>
      <c r="AD193" s="118"/>
      <c r="AE193" s="71"/>
      <c r="AF193" s="71"/>
      <c r="AG193" s="122"/>
      <c r="AH193" s="221"/>
      <c r="AI193" s="221"/>
      <c r="AJ193" s="68"/>
      <c r="AK193" s="44"/>
      <c r="AL193" s="44"/>
      <c r="AM193" s="44"/>
      <c r="AN193" s="44"/>
      <c r="AO193" s="44"/>
      <c r="AP193" s="44"/>
      <c r="AQ193" s="68"/>
      <c r="AR193" s="68"/>
      <c r="AS193" s="44"/>
      <c r="AT193" s="118"/>
      <c r="AU193" s="71"/>
      <c r="AV193" s="71"/>
      <c r="AW193" s="122"/>
      <c r="AX193" s="221"/>
      <c r="AY193" s="221"/>
      <c r="AZ193" s="68"/>
      <c r="BA193" s="44"/>
      <c r="BB193" s="44"/>
      <c r="BC193" s="44"/>
      <c r="BD193" s="44"/>
      <c r="BE193" s="44"/>
      <c r="BF193" s="44"/>
      <c r="BG193" s="68"/>
      <c r="BH193" s="68"/>
      <c r="BI193" s="44"/>
      <c r="BJ193" s="118"/>
      <c r="BK193" s="71"/>
      <c r="BL193" s="71"/>
      <c r="BM193" s="122"/>
      <c r="BN193" s="221"/>
      <c r="BO193" s="221"/>
      <c r="BP193" s="68"/>
      <c r="BQ193" s="44"/>
      <c r="BR193" s="44"/>
      <c r="BS193" s="44"/>
      <c r="BT193" s="44"/>
      <c r="BU193" s="44"/>
      <c r="BV193" s="44"/>
      <c r="BW193" s="68"/>
      <c r="BX193" s="68"/>
      <c r="BY193" s="44"/>
      <c r="BZ193" s="118"/>
      <c r="CA193" s="71"/>
      <c r="CB193" s="71"/>
      <c r="CC193" s="122"/>
      <c r="CD193" s="221"/>
      <c r="CE193" s="221"/>
      <c r="CF193" s="68"/>
      <c r="CG193" s="44"/>
      <c r="CH193" s="44"/>
      <c r="CI193" s="44"/>
      <c r="CJ193" s="44"/>
      <c r="CK193" s="44"/>
      <c r="CL193" s="44"/>
      <c r="CM193" s="68"/>
      <c r="CN193" s="68"/>
      <c r="CO193" s="44"/>
      <c r="CP193" s="118"/>
      <c r="CQ193" s="71"/>
      <c r="CR193" s="71"/>
      <c r="CS193" s="122"/>
      <c r="CT193" s="221"/>
      <c r="CU193" s="221"/>
      <c r="CV193" s="68"/>
      <c r="CW193" s="44"/>
      <c r="CX193" s="44"/>
      <c r="CY193" s="44"/>
      <c r="CZ193" s="44"/>
      <c r="DA193" s="44"/>
      <c r="DB193" s="44"/>
      <c r="DC193" s="68"/>
      <c r="DD193" s="68"/>
      <c r="DE193" s="44"/>
      <c r="DF193" s="118"/>
      <c r="DG193" s="71"/>
      <c r="DH193" s="71"/>
      <c r="DI193" s="122"/>
      <c r="DJ193" s="221"/>
      <c r="DK193" s="221"/>
      <c r="DL193" s="68"/>
      <c r="DM193" s="44"/>
      <c r="DN193" s="44"/>
      <c r="DO193" s="44"/>
      <c r="DP193" s="44"/>
      <c r="DQ193" s="44"/>
      <c r="DR193" s="44"/>
      <c r="DS193" s="68"/>
      <c r="DT193" s="68"/>
      <c r="DU193" s="44"/>
      <c r="DV193" s="118"/>
      <c r="DW193" s="71"/>
      <c r="DX193" s="71"/>
      <c r="DY193" s="122"/>
      <c r="DZ193" s="221"/>
      <c r="EA193" s="221"/>
      <c r="EB193" s="68"/>
      <c r="EC193" s="44"/>
      <c r="ED193" s="44"/>
      <c r="EE193" s="44"/>
      <c r="EF193" s="44"/>
      <c r="EG193" s="44"/>
      <c r="EH193" s="44"/>
      <c r="EI193" s="68"/>
      <c r="EJ193" s="68"/>
      <c r="EK193" s="44"/>
      <c r="EL193" s="118"/>
      <c r="EM193" s="71"/>
      <c r="EN193" s="71"/>
      <c r="EO193" s="122"/>
      <c r="EP193" s="221"/>
      <c r="EQ193" s="221"/>
      <c r="ER193" s="68"/>
      <c r="ES193" s="44"/>
      <c r="ET193" s="44"/>
      <c r="EU193" s="44"/>
      <c r="EV193" s="44"/>
      <c r="EW193" s="44"/>
      <c r="EX193" s="44"/>
      <c r="EY193" s="68"/>
      <c r="EZ193" s="68"/>
      <c r="FA193" s="44"/>
      <c r="FB193" s="118"/>
      <c r="FC193" s="71"/>
      <c r="FD193" s="71"/>
      <c r="FE193" s="122"/>
      <c r="FF193" s="221"/>
      <c r="FG193" s="221"/>
      <c r="FH193" s="68"/>
      <c r="FI193" s="44"/>
      <c r="FJ193" s="44"/>
      <c r="FK193" s="44"/>
      <c r="FL193" s="44"/>
      <c r="FM193" s="44"/>
      <c r="FN193" s="44"/>
      <c r="FO193" s="68"/>
      <c r="FP193" s="68"/>
      <c r="FQ193" s="44"/>
      <c r="FR193" s="118"/>
      <c r="FS193" s="71"/>
      <c r="FT193" s="71"/>
      <c r="FU193" s="122"/>
      <c r="FV193" s="221"/>
      <c r="FW193" s="221"/>
      <c r="FX193" s="68"/>
      <c r="FY193" s="44"/>
      <c r="FZ193" s="44"/>
      <c r="GA193" s="44"/>
      <c r="GB193" s="44"/>
      <c r="GC193" s="44"/>
      <c r="GD193" s="44"/>
      <c r="GE193" s="68"/>
      <c r="GF193" s="68"/>
      <c r="GG193" s="44"/>
      <c r="GH193" s="118"/>
      <c r="GI193" s="71"/>
      <c r="GJ193" s="71"/>
      <c r="GK193" s="122"/>
      <c r="GL193" s="221"/>
      <c r="GM193" s="221"/>
      <c r="GN193" s="68"/>
      <c r="GO193" s="44"/>
      <c r="GP193" s="44"/>
      <c r="GQ193" s="44"/>
      <c r="GR193" s="44"/>
      <c r="GS193" s="44"/>
      <c r="GT193" s="44"/>
      <c r="GU193" s="68"/>
      <c r="GV193" s="68"/>
      <c r="GW193" s="44"/>
      <c r="GX193" s="118"/>
      <c r="GY193" s="71"/>
      <c r="GZ193" s="71"/>
      <c r="HA193" s="122"/>
      <c r="HB193" s="221"/>
      <c r="HC193" s="221"/>
      <c r="HD193" s="68"/>
      <c r="HE193" s="44"/>
      <c r="HF193" s="44"/>
      <c r="HG193" s="44"/>
      <c r="HH193" s="44"/>
      <c r="HI193" s="44"/>
      <c r="HJ193" s="44"/>
      <c r="HK193" s="68"/>
      <c r="HL193" s="68"/>
      <c r="HM193" s="44"/>
      <c r="HN193" s="118"/>
      <c r="HO193" s="71"/>
      <c r="HP193" s="71"/>
      <c r="HQ193" s="122"/>
      <c r="HR193" s="221"/>
      <c r="HS193" s="221"/>
      <c r="HT193" s="68"/>
      <c r="HU193" s="44"/>
      <c r="HV193" s="44"/>
      <c r="HW193" s="44"/>
      <c r="HX193" s="44"/>
      <c r="HY193" s="44"/>
      <c r="HZ193" s="44"/>
      <c r="IA193" s="68"/>
      <c r="IB193" s="68"/>
      <c r="IC193" s="44"/>
      <c r="ID193" s="118"/>
      <c r="IE193" s="71"/>
      <c r="IF193" s="71"/>
      <c r="IG193" s="122"/>
      <c r="IH193" s="221"/>
      <c r="II193" s="221"/>
      <c r="IJ193" s="68"/>
      <c r="IK193" s="44"/>
      <c r="IL193" s="44"/>
      <c r="IM193" s="44"/>
      <c r="IN193" s="44"/>
      <c r="IO193" s="44"/>
      <c r="IP193" s="44"/>
      <c r="IQ193" s="68"/>
      <c r="IR193" s="68"/>
      <c r="IS193" s="44"/>
      <c r="IT193" s="118"/>
      <c r="IU193" s="71"/>
      <c r="IV193" s="71"/>
    </row>
    <row r="194" spans="1:256" s="160" customFormat="1" x14ac:dyDescent="0.25">
      <c r="A194" s="34">
        <v>42920</v>
      </c>
      <c r="B194" s="226" t="s">
        <v>4297</v>
      </c>
      <c r="C194" s="569" t="s">
        <v>4465</v>
      </c>
      <c r="D194" s="568" t="s">
        <v>4500</v>
      </c>
      <c r="E194" s="112">
        <f>223/3*2</f>
        <v>149</v>
      </c>
      <c r="F194" s="112">
        <f>232/3*2</f>
        <v>155</v>
      </c>
      <c r="G194" s="112">
        <f>234/3*2</f>
        <v>156</v>
      </c>
      <c r="H194" s="615"/>
      <c r="I194" s="38"/>
      <c r="J194" s="36"/>
      <c r="K194" s="411">
        <f t="shared" ref="K194:K197" si="28">SUM(E194:J194)</f>
        <v>460</v>
      </c>
      <c r="L194" s="412"/>
      <c r="M194" s="111">
        <v>9</v>
      </c>
      <c r="N194" s="39"/>
      <c r="O194" s="112"/>
      <c r="P194" s="105"/>
      <c r="Q194" s="122"/>
      <c r="R194" s="428"/>
      <c r="S194" s="221"/>
      <c r="T194" s="68"/>
      <c r="U194" s="44"/>
      <c r="V194" s="44"/>
      <c r="W194" s="44"/>
      <c r="X194" s="44"/>
      <c r="Y194" s="44"/>
      <c r="Z194" s="44"/>
      <c r="AA194" s="68"/>
      <c r="AB194" s="68"/>
      <c r="AC194" s="121"/>
      <c r="AD194" s="118"/>
      <c r="AE194" s="71"/>
      <c r="AF194" s="71"/>
      <c r="AG194" s="122"/>
      <c r="AH194" s="221"/>
      <c r="AI194" s="221"/>
      <c r="AJ194" s="68"/>
      <c r="AK194" s="44"/>
      <c r="AL194" s="44"/>
      <c r="AM194" s="44"/>
      <c r="AN194" s="44"/>
      <c r="AO194" s="44"/>
      <c r="AP194" s="44"/>
      <c r="AQ194" s="68"/>
      <c r="AR194" s="68"/>
      <c r="AS194" s="121"/>
      <c r="AT194" s="118"/>
      <c r="AU194" s="71"/>
      <c r="AV194" s="71"/>
      <c r="AW194" s="122"/>
      <c r="AX194" s="221"/>
      <c r="AY194" s="221"/>
      <c r="AZ194" s="68"/>
      <c r="BA194" s="44"/>
      <c r="BB194" s="44"/>
      <c r="BC194" s="44"/>
      <c r="BD194" s="44"/>
      <c r="BE194" s="44"/>
      <c r="BF194" s="44"/>
      <c r="BG194" s="68"/>
      <c r="BH194" s="68"/>
      <c r="BI194" s="121"/>
      <c r="BJ194" s="118"/>
      <c r="BK194" s="71"/>
      <c r="BL194" s="71"/>
      <c r="BM194" s="122"/>
      <c r="BN194" s="221"/>
      <c r="BO194" s="221"/>
      <c r="BP194" s="68"/>
      <c r="BQ194" s="44"/>
      <c r="BR194" s="44"/>
      <c r="BS194" s="44"/>
      <c r="BT194" s="44"/>
      <c r="BU194" s="44"/>
      <c r="BV194" s="44"/>
      <c r="BW194" s="68"/>
      <c r="BX194" s="68"/>
      <c r="BY194" s="121"/>
      <c r="BZ194" s="118"/>
      <c r="CA194" s="71"/>
      <c r="CB194" s="71"/>
      <c r="CC194" s="122"/>
      <c r="CD194" s="221"/>
      <c r="CE194" s="221"/>
      <c r="CF194" s="68"/>
      <c r="CG194" s="44"/>
      <c r="CH194" s="44"/>
      <c r="CI194" s="44"/>
      <c r="CJ194" s="44"/>
      <c r="CK194" s="44"/>
      <c r="CL194" s="44"/>
      <c r="CM194" s="68"/>
      <c r="CN194" s="68"/>
      <c r="CO194" s="121"/>
      <c r="CP194" s="118"/>
      <c r="CQ194" s="71"/>
      <c r="CR194" s="71"/>
      <c r="CS194" s="122"/>
      <c r="CT194" s="221"/>
      <c r="CU194" s="221"/>
      <c r="CV194" s="68"/>
      <c r="CW194" s="44"/>
      <c r="CX194" s="44"/>
      <c r="CY194" s="44"/>
      <c r="CZ194" s="44"/>
      <c r="DA194" s="44"/>
      <c r="DB194" s="44"/>
      <c r="DC194" s="68"/>
      <c r="DD194" s="68"/>
      <c r="DE194" s="121"/>
      <c r="DF194" s="118"/>
      <c r="DG194" s="71"/>
      <c r="DH194" s="71"/>
      <c r="DI194" s="122"/>
      <c r="DJ194" s="221"/>
      <c r="DK194" s="221"/>
      <c r="DL194" s="68"/>
      <c r="DM194" s="44"/>
      <c r="DN194" s="44"/>
      <c r="DO194" s="44"/>
      <c r="DP194" s="44"/>
      <c r="DQ194" s="44"/>
      <c r="DR194" s="44"/>
      <c r="DS194" s="68"/>
      <c r="DT194" s="68"/>
      <c r="DU194" s="121"/>
      <c r="DV194" s="118"/>
      <c r="DW194" s="71"/>
      <c r="DX194" s="71"/>
      <c r="DY194" s="122"/>
      <c r="DZ194" s="221"/>
      <c r="EA194" s="221"/>
      <c r="EB194" s="68"/>
      <c r="EC194" s="44"/>
      <c r="ED194" s="44"/>
      <c r="EE194" s="44"/>
      <c r="EF194" s="44"/>
      <c r="EG194" s="44"/>
      <c r="EH194" s="44"/>
      <c r="EI194" s="68"/>
      <c r="EJ194" s="68"/>
      <c r="EK194" s="121"/>
      <c r="EL194" s="118"/>
      <c r="EM194" s="71"/>
      <c r="EN194" s="71"/>
      <c r="EO194" s="122"/>
      <c r="EP194" s="221"/>
      <c r="EQ194" s="221"/>
      <c r="ER194" s="68"/>
      <c r="ES194" s="44"/>
      <c r="ET194" s="44"/>
      <c r="EU194" s="44"/>
      <c r="EV194" s="44"/>
      <c r="EW194" s="44"/>
      <c r="EX194" s="44"/>
      <c r="EY194" s="68"/>
      <c r="EZ194" s="68"/>
      <c r="FA194" s="121"/>
      <c r="FB194" s="118"/>
      <c r="FC194" s="71"/>
      <c r="FD194" s="71"/>
      <c r="FE194" s="122"/>
      <c r="FF194" s="221"/>
      <c r="FG194" s="221"/>
      <c r="FH194" s="68"/>
      <c r="FI194" s="44"/>
      <c r="FJ194" s="44"/>
      <c r="FK194" s="44"/>
      <c r="FL194" s="44"/>
      <c r="FM194" s="44"/>
      <c r="FN194" s="44"/>
      <c r="FO194" s="68"/>
      <c r="FP194" s="68"/>
      <c r="FQ194" s="121"/>
      <c r="FR194" s="118"/>
      <c r="FS194" s="71"/>
      <c r="FT194" s="71"/>
      <c r="FU194" s="122"/>
      <c r="FV194" s="221"/>
      <c r="FW194" s="221"/>
      <c r="FX194" s="68"/>
      <c r="FY194" s="44"/>
      <c r="FZ194" s="44"/>
      <c r="GA194" s="44"/>
      <c r="GB194" s="44"/>
      <c r="GC194" s="44"/>
      <c r="GD194" s="44"/>
      <c r="GE194" s="68"/>
      <c r="GF194" s="68"/>
      <c r="GG194" s="121"/>
      <c r="GH194" s="118"/>
      <c r="GI194" s="71"/>
      <c r="GJ194" s="71"/>
      <c r="GK194" s="122"/>
      <c r="GL194" s="221"/>
      <c r="GM194" s="221"/>
      <c r="GN194" s="68"/>
      <c r="GO194" s="44"/>
      <c r="GP194" s="44"/>
      <c r="GQ194" s="44"/>
      <c r="GR194" s="44"/>
      <c r="GS194" s="44"/>
      <c r="GT194" s="44"/>
      <c r="GU194" s="68"/>
      <c r="GV194" s="68"/>
      <c r="GW194" s="121"/>
      <c r="GX194" s="118"/>
      <c r="GY194" s="71"/>
      <c r="GZ194" s="71"/>
      <c r="HA194" s="122"/>
      <c r="HB194" s="221"/>
      <c r="HC194" s="221"/>
      <c r="HD194" s="68"/>
      <c r="HE194" s="44"/>
      <c r="HF194" s="44"/>
      <c r="HG194" s="44"/>
      <c r="HH194" s="44"/>
      <c r="HI194" s="44"/>
      <c r="HJ194" s="44"/>
      <c r="HK194" s="68"/>
      <c r="HL194" s="68"/>
      <c r="HM194" s="121"/>
      <c r="HN194" s="118"/>
      <c r="HO194" s="71"/>
      <c r="HP194" s="71"/>
      <c r="HQ194" s="122"/>
      <c r="HR194" s="221"/>
      <c r="HS194" s="221"/>
      <c r="HT194" s="68"/>
      <c r="HU194" s="44"/>
      <c r="HV194" s="44"/>
      <c r="HW194" s="44"/>
      <c r="HX194" s="44"/>
      <c r="HY194" s="44"/>
      <c r="HZ194" s="44"/>
      <c r="IA194" s="68"/>
      <c r="IB194" s="68"/>
      <c r="IC194" s="121"/>
      <c r="ID194" s="118"/>
      <c r="IE194" s="71"/>
      <c r="IF194" s="71"/>
      <c r="IG194" s="122"/>
      <c r="IH194" s="221"/>
      <c r="II194" s="221"/>
      <c r="IJ194" s="68"/>
      <c r="IK194" s="44"/>
      <c r="IL194" s="44"/>
      <c r="IM194" s="44"/>
      <c r="IN194" s="44"/>
      <c r="IO194" s="44"/>
      <c r="IP194" s="44"/>
      <c r="IQ194" s="68"/>
      <c r="IR194" s="68"/>
      <c r="IS194" s="121"/>
      <c r="IT194" s="118"/>
      <c r="IU194" s="71"/>
      <c r="IV194" s="71"/>
    </row>
    <row r="195" spans="1:256" s="160" customFormat="1" ht="13.8" thickBot="1" x14ac:dyDescent="0.3">
      <c r="A195" s="94"/>
      <c r="B195" s="223"/>
      <c r="C195" s="224"/>
      <c r="D195" s="485" t="s">
        <v>4501</v>
      </c>
      <c r="E195" s="98">
        <f>222/3*2</f>
        <v>148</v>
      </c>
      <c r="F195" s="98">
        <f>227/3*2</f>
        <v>151</v>
      </c>
      <c r="G195" s="98">
        <f>224/3*2</f>
        <v>149</v>
      </c>
      <c r="H195" s="55"/>
      <c r="I195" s="62"/>
      <c r="J195" s="60"/>
      <c r="K195" s="413">
        <f t="shared" si="28"/>
        <v>448</v>
      </c>
      <c r="L195" s="414">
        <f>+K194+K195</f>
        <v>908</v>
      </c>
      <c r="M195" s="60">
        <v>23</v>
      </c>
      <c r="N195" s="63">
        <f>+L195/1200</f>
        <v>0.75700000000000001</v>
      </c>
      <c r="O195" s="98">
        <f>1449/3*2</f>
        <v>966</v>
      </c>
      <c r="P195" s="107">
        <f>936/3*2</f>
        <v>624</v>
      </c>
      <c r="Q195" s="122"/>
      <c r="R195" s="221"/>
      <c r="S195" s="221"/>
      <c r="T195" s="68"/>
      <c r="U195" s="44"/>
      <c r="V195" s="44"/>
      <c r="W195" s="44"/>
      <c r="X195" s="44"/>
      <c r="Y195" s="44"/>
      <c r="Z195" s="44"/>
      <c r="AA195" s="68"/>
      <c r="AB195" s="68"/>
      <c r="AC195" s="44"/>
      <c r="AD195" s="118"/>
      <c r="AE195" s="71"/>
      <c r="AF195" s="71"/>
      <c r="AG195" s="122"/>
      <c r="AH195" s="221"/>
      <c r="AI195" s="221"/>
      <c r="AJ195" s="68"/>
      <c r="AK195" s="44"/>
      <c r="AL195" s="44"/>
      <c r="AM195" s="44"/>
      <c r="AN195" s="44"/>
      <c r="AO195" s="44"/>
      <c r="AP195" s="44"/>
      <c r="AQ195" s="68"/>
      <c r="AR195" s="68"/>
      <c r="AS195" s="44"/>
      <c r="AT195" s="118"/>
      <c r="AU195" s="71"/>
      <c r="AV195" s="71"/>
      <c r="AW195" s="122"/>
      <c r="AX195" s="221"/>
      <c r="AY195" s="221"/>
      <c r="AZ195" s="68"/>
      <c r="BA195" s="44"/>
      <c r="BB195" s="44"/>
      <c r="BC195" s="44"/>
      <c r="BD195" s="44"/>
      <c r="BE195" s="44"/>
      <c r="BF195" s="44"/>
      <c r="BG195" s="68"/>
      <c r="BH195" s="68"/>
      <c r="BI195" s="44"/>
      <c r="BJ195" s="118"/>
      <c r="BK195" s="71"/>
      <c r="BL195" s="71"/>
      <c r="BM195" s="122"/>
      <c r="BN195" s="221"/>
      <c r="BO195" s="221"/>
      <c r="BP195" s="68"/>
      <c r="BQ195" s="44"/>
      <c r="BR195" s="44"/>
      <c r="BS195" s="44"/>
      <c r="BT195" s="44"/>
      <c r="BU195" s="44"/>
      <c r="BV195" s="44"/>
      <c r="BW195" s="68"/>
      <c r="BX195" s="68"/>
      <c r="BY195" s="44"/>
      <c r="BZ195" s="118"/>
      <c r="CA195" s="71"/>
      <c r="CB195" s="71"/>
      <c r="CC195" s="122"/>
      <c r="CD195" s="221"/>
      <c r="CE195" s="221"/>
      <c r="CF195" s="68"/>
      <c r="CG195" s="44"/>
      <c r="CH195" s="44"/>
      <c r="CI195" s="44"/>
      <c r="CJ195" s="44"/>
      <c r="CK195" s="44"/>
      <c r="CL195" s="44"/>
      <c r="CM195" s="68"/>
      <c r="CN195" s="68"/>
      <c r="CO195" s="44"/>
      <c r="CP195" s="118"/>
      <c r="CQ195" s="71"/>
      <c r="CR195" s="71"/>
      <c r="CS195" s="122"/>
      <c r="CT195" s="221"/>
      <c r="CU195" s="221"/>
      <c r="CV195" s="68"/>
      <c r="CW195" s="44"/>
      <c r="CX195" s="44"/>
      <c r="CY195" s="44"/>
      <c r="CZ195" s="44"/>
      <c r="DA195" s="44"/>
      <c r="DB195" s="44"/>
      <c r="DC195" s="68"/>
      <c r="DD195" s="68"/>
      <c r="DE195" s="44"/>
      <c r="DF195" s="118"/>
      <c r="DG195" s="71"/>
      <c r="DH195" s="71"/>
      <c r="DI195" s="122"/>
      <c r="DJ195" s="221"/>
      <c r="DK195" s="221"/>
      <c r="DL195" s="68"/>
      <c r="DM195" s="44"/>
      <c r="DN195" s="44"/>
      <c r="DO195" s="44"/>
      <c r="DP195" s="44"/>
      <c r="DQ195" s="44"/>
      <c r="DR195" s="44"/>
      <c r="DS195" s="68"/>
      <c r="DT195" s="68"/>
      <c r="DU195" s="44"/>
      <c r="DV195" s="118"/>
      <c r="DW195" s="71"/>
      <c r="DX195" s="71"/>
      <c r="DY195" s="122"/>
      <c r="DZ195" s="221"/>
      <c r="EA195" s="221"/>
      <c r="EB195" s="68"/>
      <c r="EC195" s="44"/>
      <c r="ED195" s="44"/>
      <c r="EE195" s="44"/>
      <c r="EF195" s="44"/>
      <c r="EG195" s="44"/>
      <c r="EH195" s="44"/>
      <c r="EI195" s="68"/>
      <c r="EJ195" s="68"/>
      <c r="EK195" s="44"/>
      <c r="EL195" s="118"/>
      <c r="EM195" s="71"/>
      <c r="EN195" s="71"/>
      <c r="EO195" s="122"/>
      <c r="EP195" s="221"/>
      <c r="EQ195" s="221"/>
      <c r="ER195" s="68"/>
      <c r="ES195" s="44"/>
      <c r="ET195" s="44"/>
      <c r="EU195" s="44"/>
      <c r="EV195" s="44"/>
      <c r="EW195" s="44"/>
      <c r="EX195" s="44"/>
      <c r="EY195" s="68"/>
      <c r="EZ195" s="68"/>
      <c r="FA195" s="44"/>
      <c r="FB195" s="118"/>
      <c r="FC195" s="71"/>
      <c r="FD195" s="71"/>
      <c r="FE195" s="122"/>
      <c r="FF195" s="221"/>
      <c r="FG195" s="221"/>
      <c r="FH195" s="68"/>
      <c r="FI195" s="44"/>
      <c r="FJ195" s="44"/>
      <c r="FK195" s="44"/>
      <c r="FL195" s="44"/>
      <c r="FM195" s="44"/>
      <c r="FN195" s="44"/>
      <c r="FO195" s="68"/>
      <c r="FP195" s="68"/>
      <c r="FQ195" s="44"/>
      <c r="FR195" s="118"/>
      <c r="FS195" s="71"/>
      <c r="FT195" s="71"/>
      <c r="FU195" s="122"/>
      <c r="FV195" s="221"/>
      <c r="FW195" s="221"/>
      <c r="FX195" s="68"/>
      <c r="FY195" s="44"/>
      <c r="FZ195" s="44"/>
      <c r="GA195" s="44"/>
      <c r="GB195" s="44"/>
      <c r="GC195" s="44"/>
      <c r="GD195" s="44"/>
      <c r="GE195" s="68"/>
      <c r="GF195" s="68"/>
      <c r="GG195" s="44"/>
      <c r="GH195" s="118"/>
      <c r="GI195" s="71"/>
      <c r="GJ195" s="71"/>
      <c r="GK195" s="122"/>
      <c r="GL195" s="221"/>
      <c r="GM195" s="221"/>
      <c r="GN195" s="68"/>
      <c r="GO195" s="44"/>
      <c r="GP195" s="44"/>
      <c r="GQ195" s="44"/>
      <c r="GR195" s="44"/>
      <c r="GS195" s="44"/>
      <c r="GT195" s="44"/>
      <c r="GU195" s="68"/>
      <c r="GV195" s="68"/>
      <c r="GW195" s="44"/>
      <c r="GX195" s="118"/>
      <c r="GY195" s="71"/>
      <c r="GZ195" s="71"/>
      <c r="HA195" s="122"/>
      <c r="HB195" s="221"/>
      <c r="HC195" s="221"/>
      <c r="HD195" s="68"/>
      <c r="HE195" s="44"/>
      <c r="HF195" s="44"/>
      <c r="HG195" s="44"/>
      <c r="HH195" s="44"/>
      <c r="HI195" s="44"/>
      <c r="HJ195" s="44"/>
      <c r="HK195" s="68"/>
      <c r="HL195" s="68"/>
      <c r="HM195" s="44"/>
      <c r="HN195" s="118"/>
      <c r="HO195" s="71"/>
      <c r="HP195" s="71"/>
      <c r="HQ195" s="122"/>
      <c r="HR195" s="221"/>
      <c r="HS195" s="221"/>
      <c r="HT195" s="68"/>
      <c r="HU195" s="44"/>
      <c r="HV195" s="44"/>
      <c r="HW195" s="44"/>
      <c r="HX195" s="44"/>
      <c r="HY195" s="44"/>
      <c r="HZ195" s="44"/>
      <c r="IA195" s="68"/>
      <c r="IB195" s="68"/>
      <c r="IC195" s="44"/>
      <c r="ID195" s="118"/>
      <c r="IE195" s="71"/>
      <c r="IF195" s="71"/>
      <c r="IG195" s="122"/>
      <c r="IH195" s="221"/>
      <c r="II195" s="221"/>
      <c r="IJ195" s="68"/>
      <c r="IK195" s="44"/>
      <c r="IL195" s="44"/>
      <c r="IM195" s="44"/>
      <c r="IN195" s="44"/>
      <c r="IO195" s="44"/>
      <c r="IP195" s="44"/>
      <c r="IQ195" s="68"/>
      <c r="IR195" s="68"/>
      <c r="IS195" s="44"/>
      <c r="IT195" s="118"/>
      <c r="IU195" s="71"/>
      <c r="IV195" s="71"/>
    </row>
    <row r="196" spans="1:256" s="160" customFormat="1" x14ac:dyDescent="0.25">
      <c r="A196" s="34">
        <v>43285</v>
      </c>
      <c r="B196" s="226" t="s">
        <v>2320</v>
      </c>
      <c r="C196" s="569" t="s">
        <v>2699</v>
      </c>
      <c r="D196" s="568" t="s">
        <v>4716</v>
      </c>
      <c r="E196" s="112">
        <f>232/3*2</f>
        <v>155</v>
      </c>
      <c r="F196" s="112">
        <f>235/3*2</f>
        <v>157</v>
      </c>
      <c r="G196" s="112">
        <f>242/3*2</f>
        <v>161</v>
      </c>
      <c r="H196" s="615"/>
      <c r="I196" s="38"/>
      <c r="J196" s="36"/>
      <c r="K196" s="411">
        <f t="shared" si="28"/>
        <v>473</v>
      </c>
      <c r="L196" s="412"/>
      <c r="M196" s="111">
        <v>2</v>
      </c>
      <c r="N196" s="39"/>
      <c r="O196" s="112"/>
      <c r="P196" s="105"/>
      <c r="Q196" s="122"/>
      <c r="R196" s="428"/>
      <c r="S196" s="221"/>
      <c r="T196" s="68"/>
      <c r="U196" s="44"/>
      <c r="V196" s="44"/>
      <c r="W196" s="44"/>
      <c r="X196" s="44"/>
      <c r="Y196" s="44"/>
      <c r="Z196" s="44"/>
      <c r="AA196" s="68"/>
      <c r="AB196" s="68"/>
      <c r="AC196" s="121"/>
      <c r="AD196" s="118"/>
      <c r="AE196" s="71"/>
      <c r="AF196" s="71"/>
      <c r="AG196" s="122"/>
      <c r="AH196" s="221"/>
      <c r="AI196" s="221"/>
      <c r="AJ196" s="68"/>
      <c r="AK196" s="44"/>
      <c r="AL196" s="44"/>
      <c r="AM196" s="44"/>
      <c r="AN196" s="44"/>
      <c r="AO196" s="44"/>
      <c r="AP196" s="44"/>
      <c r="AQ196" s="68"/>
      <c r="AR196" s="68"/>
      <c r="AS196" s="121"/>
      <c r="AT196" s="118"/>
      <c r="AU196" s="71"/>
      <c r="AV196" s="71"/>
      <c r="AW196" s="122"/>
      <c r="AX196" s="221"/>
      <c r="AY196" s="221"/>
      <c r="AZ196" s="68"/>
      <c r="BA196" s="44"/>
      <c r="BB196" s="44"/>
      <c r="BC196" s="44"/>
      <c r="BD196" s="44"/>
      <c r="BE196" s="44"/>
      <c r="BF196" s="44"/>
      <c r="BG196" s="68"/>
      <c r="BH196" s="68"/>
      <c r="BI196" s="121"/>
      <c r="BJ196" s="118"/>
      <c r="BK196" s="71"/>
      <c r="BL196" s="71"/>
      <c r="BM196" s="122"/>
      <c r="BN196" s="221"/>
      <c r="BO196" s="221"/>
      <c r="BP196" s="68"/>
      <c r="BQ196" s="44"/>
      <c r="BR196" s="44"/>
      <c r="BS196" s="44"/>
      <c r="BT196" s="44"/>
      <c r="BU196" s="44"/>
      <c r="BV196" s="44"/>
      <c r="BW196" s="68"/>
      <c r="BX196" s="68"/>
      <c r="BY196" s="121"/>
      <c r="BZ196" s="118"/>
      <c r="CA196" s="71"/>
      <c r="CB196" s="71"/>
      <c r="CC196" s="122"/>
      <c r="CD196" s="221"/>
      <c r="CE196" s="221"/>
      <c r="CF196" s="68"/>
      <c r="CG196" s="44"/>
      <c r="CH196" s="44"/>
      <c r="CI196" s="44"/>
      <c r="CJ196" s="44"/>
      <c r="CK196" s="44"/>
      <c r="CL196" s="44"/>
      <c r="CM196" s="68"/>
      <c r="CN196" s="68"/>
      <c r="CO196" s="121"/>
      <c r="CP196" s="118"/>
      <c r="CQ196" s="71"/>
      <c r="CR196" s="71"/>
      <c r="CS196" s="122"/>
      <c r="CT196" s="221"/>
      <c r="CU196" s="221"/>
      <c r="CV196" s="68"/>
      <c r="CW196" s="44"/>
      <c r="CX196" s="44"/>
      <c r="CY196" s="44"/>
      <c r="CZ196" s="44"/>
      <c r="DA196" s="44"/>
      <c r="DB196" s="44"/>
      <c r="DC196" s="68"/>
      <c r="DD196" s="68"/>
      <c r="DE196" s="121"/>
      <c r="DF196" s="118"/>
      <c r="DG196" s="71"/>
      <c r="DH196" s="71"/>
      <c r="DI196" s="122"/>
      <c r="DJ196" s="221"/>
      <c r="DK196" s="221"/>
      <c r="DL196" s="68"/>
      <c r="DM196" s="44"/>
      <c r="DN196" s="44"/>
      <c r="DO196" s="44"/>
      <c r="DP196" s="44"/>
      <c r="DQ196" s="44"/>
      <c r="DR196" s="44"/>
      <c r="DS196" s="68"/>
      <c r="DT196" s="68"/>
      <c r="DU196" s="121"/>
      <c r="DV196" s="118"/>
      <c r="DW196" s="71"/>
      <c r="DX196" s="71"/>
      <c r="DY196" s="122"/>
      <c r="DZ196" s="221"/>
      <c r="EA196" s="221"/>
      <c r="EB196" s="68"/>
      <c r="EC196" s="44"/>
      <c r="ED196" s="44"/>
      <c r="EE196" s="44"/>
      <c r="EF196" s="44"/>
      <c r="EG196" s="44"/>
      <c r="EH196" s="44"/>
      <c r="EI196" s="68"/>
      <c r="EJ196" s="68"/>
      <c r="EK196" s="121"/>
      <c r="EL196" s="118"/>
      <c r="EM196" s="71"/>
      <c r="EN196" s="71"/>
      <c r="EO196" s="122"/>
      <c r="EP196" s="221"/>
      <c r="EQ196" s="221"/>
      <c r="ER196" s="68"/>
      <c r="ES196" s="44"/>
      <c r="ET196" s="44"/>
      <c r="EU196" s="44"/>
      <c r="EV196" s="44"/>
      <c r="EW196" s="44"/>
      <c r="EX196" s="44"/>
      <c r="EY196" s="68"/>
      <c r="EZ196" s="68"/>
      <c r="FA196" s="121"/>
      <c r="FB196" s="118"/>
      <c r="FC196" s="71"/>
      <c r="FD196" s="71"/>
      <c r="FE196" s="122"/>
      <c r="FF196" s="221"/>
      <c r="FG196" s="221"/>
      <c r="FH196" s="68"/>
      <c r="FI196" s="44"/>
      <c r="FJ196" s="44"/>
      <c r="FK196" s="44"/>
      <c r="FL196" s="44"/>
      <c r="FM196" s="44"/>
      <c r="FN196" s="44"/>
      <c r="FO196" s="68"/>
      <c r="FP196" s="68"/>
      <c r="FQ196" s="121"/>
      <c r="FR196" s="118"/>
      <c r="FS196" s="71"/>
      <c r="FT196" s="71"/>
      <c r="FU196" s="122"/>
      <c r="FV196" s="221"/>
      <c r="FW196" s="221"/>
      <c r="FX196" s="68"/>
      <c r="FY196" s="44"/>
      <c r="FZ196" s="44"/>
      <c r="GA196" s="44"/>
      <c r="GB196" s="44"/>
      <c r="GC196" s="44"/>
      <c r="GD196" s="44"/>
      <c r="GE196" s="68"/>
      <c r="GF196" s="68"/>
      <c r="GG196" s="121"/>
      <c r="GH196" s="118"/>
      <c r="GI196" s="71"/>
      <c r="GJ196" s="71"/>
      <c r="GK196" s="122"/>
      <c r="GL196" s="221"/>
      <c r="GM196" s="221"/>
      <c r="GN196" s="68"/>
      <c r="GO196" s="44"/>
      <c r="GP196" s="44"/>
      <c r="GQ196" s="44"/>
      <c r="GR196" s="44"/>
      <c r="GS196" s="44"/>
      <c r="GT196" s="44"/>
      <c r="GU196" s="68"/>
      <c r="GV196" s="68"/>
      <c r="GW196" s="121"/>
      <c r="GX196" s="118"/>
      <c r="GY196" s="71"/>
      <c r="GZ196" s="71"/>
      <c r="HA196" s="122"/>
      <c r="HB196" s="221"/>
      <c r="HC196" s="221"/>
      <c r="HD196" s="68"/>
      <c r="HE196" s="44"/>
      <c r="HF196" s="44"/>
      <c r="HG196" s="44"/>
      <c r="HH196" s="44"/>
      <c r="HI196" s="44"/>
      <c r="HJ196" s="44"/>
      <c r="HK196" s="68"/>
      <c r="HL196" s="68"/>
      <c r="HM196" s="121"/>
      <c r="HN196" s="118"/>
      <c r="HO196" s="71"/>
      <c r="HP196" s="71"/>
      <c r="HQ196" s="122"/>
      <c r="HR196" s="221"/>
      <c r="HS196" s="221"/>
      <c r="HT196" s="68"/>
      <c r="HU196" s="44"/>
      <c r="HV196" s="44"/>
      <c r="HW196" s="44"/>
      <c r="HX196" s="44"/>
      <c r="HY196" s="44"/>
      <c r="HZ196" s="44"/>
      <c r="IA196" s="68"/>
      <c r="IB196" s="68"/>
      <c r="IC196" s="121"/>
      <c r="ID196" s="118"/>
      <c r="IE196" s="71"/>
      <c r="IF196" s="71"/>
      <c r="IG196" s="122"/>
      <c r="IH196" s="221"/>
      <c r="II196" s="221"/>
      <c r="IJ196" s="68"/>
      <c r="IK196" s="44"/>
      <c r="IL196" s="44"/>
      <c r="IM196" s="44"/>
      <c r="IN196" s="44"/>
      <c r="IO196" s="44"/>
      <c r="IP196" s="44"/>
      <c r="IQ196" s="68"/>
      <c r="IR196" s="68"/>
      <c r="IS196" s="121"/>
      <c r="IT196" s="118"/>
      <c r="IU196" s="71"/>
      <c r="IV196" s="71"/>
    </row>
    <row r="197" spans="1:256" s="160" customFormat="1" ht="13.8" thickBot="1" x14ac:dyDescent="0.3">
      <c r="A197" s="94"/>
      <c r="B197" s="223"/>
      <c r="C197" s="224"/>
      <c r="D197" s="485" t="s">
        <v>4717</v>
      </c>
      <c r="E197" s="98">
        <f>239/3*2</f>
        <v>159</v>
      </c>
      <c r="F197" s="98">
        <f>250/3*2</f>
        <v>167</v>
      </c>
      <c r="G197" s="98">
        <f>247/3*2</f>
        <v>165</v>
      </c>
      <c r="H197" s="55"/>
      <c r="I197" s="62"/>
      <c r="J197" s="60"/>
      <c r="K197" s="413">
        <f t="shared" si="28"/>
        <v>491</v>
      </c>
      <c r="L197" s="414">
        <f>+K196+K197</f>
        <v>964</v>
      </c>
      <c r="M197" s="60">
        <v>20</v>
      </c>
      <c r="N197" s="63">
        <f>+L197/1200</f>
        <v>0.80300000000000005</v>
      </c>
      <c r="O197" s="98">
        <f>1457/3*2</f>
        <v>971</v>
      </c>
      <c r="P197" s="107">
        <f>1216/3*2</f>
        <v>811</v>
      </c>
      <c r="Q197" s="122"/>
      <c r="R197" s="221"/>
      <c r="S197" s="221"/>
      <c r="T197" s="68"/>
      <c r="U197" s="44"/>
      <c r="V197" s="44"/>
      <c r="W197" s="44"/>
      <c r="X197" s="44"/>
      <c r="Y197" s="44"/>
      <c r="Z197" s="44"/>
      <c r="AA197" s="68"/>
      <c r="AB197" s="68"/>
      <c r="AC197" s="44"/>
      <c r="AD197" s="118"/>
      <c r="AE197" s="71"/>
      <c r="AF197" s="71"/>
      <c r="AG197" s="122"/>
      <c r="AH197" s="221"/>
      <c r="AI197" s="221"/>
      <c r="AJ197" s="68"/>
      <c r="AK197" s="44"/>
      <c r="AL197" s="44"/>
      <c r="AM197" s="44"/>
      <c r="AN197" s="44"/>
      <c r="AO197" s="44"/>
      <c r="AP197" s="44"/>
      <c r="AQ197" s="68"/>
      <c r="AR197" s="68"/>
      <c r="AS197" s="44"/>
      <c r="AT197" s="118"/>
      <c r="AU197" s="71"/>
      <c r="AV197" s="71"/>
      <c r="AW197" s="122"/>
      <c r="AX197" s="221"/>
      <c r="AY197" s="221"/>
      <c r="AZ197" s="68"/>
      <c r="BA197" s="44"/>
      <c r="BB197" s="44"/>
      <c r="BC197" s="44"/>
      <c r="BD197" s="44"/>
      <c r="BE197" s="44"/>
      <c r="BF197" s="44"/>
      <c r="BG197" s="68"/>
      <c r="BH197" s="68"/>
      <c r="BI197" s="44"/>
      <c r="BJ197" s="118"/>
      <c r="BK197" s="71"/>
      <c r="BL197" s="71"/>
      <c r="BM197" s="122"/>
      <c r="BN197" s="221"/>
      <c r="BO197" s="221"/>
      <c r="BP197" s="68"/>
      <c r="BQ197" s="44"/>
      <c r="BR197" s="44"/>
      <c r="BS197" s="44"/>
      <c r="BT197" s="44"/>
      <c r="BU197" s="44"/>
      <c r="BV197" s="44"/>
      <c r="BW197" s="68"/>
      <c r="BX197" s="68"/>
      <c r="BY197" s="44"/>
      <c r="BZ197" s="118"/>
      <c r="CA197" s="71"/>
      <c r="CB197" s="71"/>
      <c r="CC197" s="122"/>
      <c r="CD197" s="221"/>
      <c r="CE197" s="221"/>
      <c r="CF197" s="68"/>
      <c r="CG197" s="44"/>
      <c r="CH197" s="44"/>
      <c r="CI197" s="44"/>
      <c r="CJ197" s="44"/>
      <c r="CK197" s="44"/>
      <c r="CL197" s="44"/>
      <c r="CM197" s="68"/>
      <c r="CN197" s="68"/>
      <c r="CO197" s="44"/>
      <c r="CP197" s="118"/>
      <c r="CQ197" s="71"/>
      <c r="CR197" s="71"/>
      <c r="CS197" s="122"/>
      <c r="CT197" s="221"/>
      <c r="CU197" s="221"/>
      <c r="CV197" s="68"/>
      <c r="CW197" s="44"/>
      <c r="CX197" s="44"/>
      <c r="CY197" s="44"/>
      <c r="CZ197" s="44"/>
      <c r="DA197" s="44"/>
      <c r="DB197" s="44"/>
      <c r="DC197" s="68"/>
      <c r="DD197" s="68"/>
      <c r="DE197" s="44"/>
      <c r="DF197" s="118"/>
      <c r="DG197" s="71"/>
      <c r="DH197" s="71"/>
      <c r="DI197" s="122"/>
      <c r="DJ197" s="221"/>
      <c r="DK197" s="221"/>
      <c r="DL197" s="68"/>
      <c r="DM197" s="44"/>
      <c r="DN197" s="44"/>
      <c r="DO197" s="44"/>
      <c r="DP197" s="44"/>
      <c r="DQ197" s="44"/>
      <c r="DR197" s="44"/>
      <c r="DS197" s="68"/>
      <c r="DT197" s="68"/>
      <c r="DU197" s="44"/>
      <c r="DV197" s="118"/>
      <c r="DW197" s="71"/>
      <c r="DX197" s="71"/>
      <c r="DY197" s="122"/>
      <c r="DZ197" s="221"/>
      <c r="EA197" s="221"/>
      <c r="EB197" s="68"/>
      <c r="EC197" s="44"/>
      <c r="ED197" s="44"/>
      <c r="EE197" s="44"/>
      <c r="EF197" s="44"/>
      <c r="EG197" s="44"/>
      <c r="EH197" s="44"/>
      <c r="EI197" s="68"/>
      <c r="EJ197" s="68"/>
      <c r="EK197" s="44"/>
      <c r="EL197" s="118"/>
      <c r="EM197" s="71"/>
      <c r="EN197" s="71"/>
      <c r="EO197" s="122"/>
      <c r="EP197" s="221"/>
      <c r="EQ197" s="221"/>
      <c r="ER197" s="68"/>
      <c r="ES197" s="44"/>
      <c r="ET197" s="44"/>
      <c r="EU197" s="44"/>
      <c r="EV197" s="44"/>
      <c r="EW197" s="44"/>
      <c r="EX197" s="44"/>
      <c r="EY197" s="68"/>
      <c r="EZ197" s="68"/>
      <c r="FA197" s="44"/>
      <c r="FB197" s="118"/>
      <c r="FC197" s="71"/>
      <c r="FD197" s="71"/>
      <c r="FE197" s="122"/>
      <c r="FF197" s="221"/>
      <c r="FG197" s="221"/>
      <c r="FH197" s="68"/>
      <c r="FI197" s="44"/>
      <c r="FJ197" s="44"/>
      <c r="FK197" s="44"/>
      <c r="FL197" s="44"/>
      <c r="FM197" s="44"/>
      <c r="FN197" s="44"/>
      <c r="FO197" s="68"/>
      <c r="FP197" s="68"/>
      <c r="FQ197" s="44"/>
      <c r="FR197" s="118"/>
      <c r="FS197" s="71"/>
      <c r="FT197" s="71"/>
      <c r="FU197" s="122"/>
      <c r="FV197" s="221"/>
      <c r="FW197" s="221"/>
      <c r="FX197" s="68"/>
      <c r="FY197" s="44"/>
      <c r="FZ197" s="44"/>
      <c r="GA197" s="44"/>
      <c r="GB197" s="44"/>
      <c r="GC197" s="44"/>
      <c r="GD197" s="44"/>
      <c r="GE197" s="68"/>
      <c r="GF197" s="68"/>
      <c r="GG197" s="44"/>
      <c r="GH197" s="118"/>
      <c r="GI197" s="71"/>
      <c r="GJ197" s="71"/>
      <c r="GK197" s="122"/>
      <c r="GL197" s="221"/>
      <c r="GM197" s="221"/>
      <c r="GN197" s="68"/>
      <c r="GO197" s="44"/>
      <c r="GP197" s="44"/>
      <c r="GQ197" s="44"/>
      <c r="GR197" s="44"/>
      <c r="GS197" s="44"/>
      <c r="GT197" s="44"/>
      <c r="GU197" s="68"/>
      <c r="GV197" s="68"/>
      <c r="GW197" s="44"/>
      <c r="GX197" s="118"/>
      <c r="GY197" s="71"/>
      <c r="GZ197" s="71"/>
      <c r="HA197" s="122"/>
      <c r="HB197" s="221"/>
      <c r="HC197" s="221"/>
      <c r="HD197" s="68"/>
      <c r="HE197" s="44"/>
      <c r="HF197" s="44"/>
      <c r="HG197" s="44"/>
      <c r="HH197" s="44"/>
      <c r="HI197" s="44"/>
      <c r="HJ197" s="44"/>
      <c r="HK197" s="68"/>
      <c r="HL197" s="68"/>
      <c r="HM197" s="44"/>
      <c r="HN197" s="118"/>
      <c r="HO197" s="71"/>
      <c r="HP197" s="71"/>
      <c r="HQ197" s="122"/>
      <c r="HR197" s="221"/>
      <c r="HS197" s="221"/>
      <c r="HT197" s="68"/>
      <c r="HU197" s="44"/>
      <c r="HV197" s="44"/>
      <c r="HW197" s="44"/>
      <c r="HX197" s="44"/>
      <c r="HY197" s="44"/>
      <c r="HZ197" s="44"/>
      <c r="IA197" s="68"/>
      <c r="IB197" s="68"/>
      <c r="IC197" s="44"/>
      <c r="ID197" s="118"/>
      <c r="IE197" s="71"/>
      <c r="IF197" s="71"/>
      <c r="IG197" s="122"/>
      <c r="IH197" s="221"/>
      <c r="II197" s="221"/>
      <c r="IJ197" s="68"/>
      <c r="IK197" s="44"/>
      <c r="IL197" s="44"/>
      <c r="IM197" s="44"/>
      <c r="IN197" s="44"/>
      <c r="IO197" s="44"/>
      <c r="IP197" s="44"/>
      <c r="IQ197" s="68"/>
      <c r="IR197" s="68"/>
      <c r="IS197" s="44"/>
      <c r="IT197" s="118"/>
      <c r="IU197" s="71"/>
      <c r="IV197" s="71"/>
    </row>
    <row r="198" spans="1:256" s="160" customFormat="1" x14ac:dyDescent="0.25">
      <c r="A198" s="34">
        <v>43285</v>
      </c>
      <c r="B198" s="226" t="s">
        <v>2320</v>
      </c>
      <c r="C198" s="569" t="s">
        <v>1092</v>
      </c>
      <c r="D198" s="568" t="s">
        <v>4718</v>
      </c>
      <c r="E198" s="112">
        <f>215/3*2</f>
        <v>143</v>
      </c>
      <c r="F198" s="112">
        <f>217/3*2</f>
        <v>145</v>
      </c>
      <c r="G198" s="112">
        <f>214/3*2</f>
        <v>143</v>
      </c>
      <c r="H198" s="35"/>
      <c r="I198" s="38"/>
      <c r="J198" s="36"/>
      <c r="K198" s="411">
        <f t="shared" si="27"/>
        <v>431</v>
      </c>
      <c r="L198" s="412"/>
      <c r="M198" s="111">
        <v>119</v>
      </c>
      <c r="N198" s="39"/>
      <c r="O198" s="112"/>
      <c r="P198" s="105"/>
      <c r="Q198" s="122"/>
      <c r="R198" s="428"/>
      <c r="S198" s="221"/>
      <c r="T198" s="68"/>
      <c r="U198" s="44"/>
      <c r="V198" s="44"/>
      <c r="W198" s="44"/>
      <c r="X198" s="44"/>
      <c r="Y198" s="44"/>
      <c r="Z198" s="44"/>
      <c r="AA198" s="68"/>
      <c r="AB198" s="68"/>
      <c r="AC198" s="121"/>
      <c r="AD198" s="118"/>
      <c r="AE198" s="71"/>
      <c r="AF198" s="71"/>
      <c r="AG198" s="122"/>
      <c r="AH198" s="221"/>
      <c r="AI198" s="221"/>
      <c r="AJ198" s="68"/>
      <c r="AK198" s="44"/>
      <c r="AL198" s="44"/>
      <c r="AM198" s="44"/>
      <c r="AN198" s="44"/>
      <c r="AO198" s="44"/>
      <c r="AP198" s="44"/>
      <c r="AQ198" s="68"/>
      <c r="AR198" s="68"/>
      <c r="AS198" s="121"/>
      <c r="AT198" s="118"/>
      <c r="AU198" s="71"/>
      <c r="AV198" s="71"/>
      <c r="AW198" s="122"/>
      <c r="AX198" s="221"/>
      <c r="AY198" s="221"/>
      <c r="AZ198" s="68"/>
      <c r="BA198" s="44"/>
      <c r="BB198" s="44"/>
      <c r="BC198" s="44"/>
      <c r="BD198" s="44"/>
      <c r="BE198" s="44"/>
      <c r="BF198" s="44"/>
      <c r="BG198" s="68"/>
      <c r="BH198" s="68"/>
      <c r="BI198" s="121"/>
      <c r="BJ198" s="118"/>
      <c r="BK198" s="71"/>
      <c r="BL198" s="71"/>
      <c r="BM198" s="122"/>
      <c r="BN198" s="221"/>
      <c r="BO198" s="221"/>
      <c r="BP198" s="68"/>
      <c r="BQ198" s="44"/>
      <c r="BR198" s="44"/>
      <c r="BS198" s="44"/>
      <c r="BT198" s="44"/>
      <c r="BU198" s="44"/>
      <c r="BV198" s="44"/>
      <c r="BW198" s="68"/>
      <c r="BX198" s="68"/>
      <c r="BY198" s="121"/>
      <c r="BZ198" s="118"/>
      <c r="CA198" s="71"/>
      <c r="CB198" s="71"/>
      <c r="CC198" s="122"/>
      <c r="CD198" s="221"/>
      <c r="CE198" s="221"/>
      <c r="CF198" s="68"/>
      <c r="CG198" s="44"/>
      <c r="CH198" s="44"/>
      <c r="CI198" s="44"/>
      <c r="CJ198" s="44"/>
      <c r="CK198" s="44"/>
      <c r="CL198" s="44"/>
      <c r="CM198" s="68"/>
      <c r="CN198" s="68"/>
      <c r="CO198" s="121"/>
      <c r="CP198" s="118"/>
      <c r="CQ198" s="71"/>
      <c r="CR198" s="71"/>
      <c r="CS198" s="122"/>
      <c r="CT198" s="221"/>
      <c r="CU198" s="221"/>
      <c r="CV198" s="68"/>
      <c r="CW198" s="44"/>
      <c r="CX198" s="44"/>
      <c r="CY198" s="44"/>
      <c r="CZ198" s="44"/>
      <c r="DA198" s="44"/>
      <c r="DB198" s="44"/>
      <c r="DC198" s="68"/>
      <c r="DD198" s="68"/>
      <c r="DE198" s="121"/>
      <c r="DF198" s="118"/>
      <c r="DG198" s="71"/>
      <c r="DH198" s="71"/>
      <c r="DI198" s="122"/>
      <c r="DJ198" s="221"/>
      <c r="DK198" s="221"/>
      <c r="DL198" s="68"/>
      <c r="DM198" s="44"/>
      <c r="DN198" s="44"/>
      <c r="DO198" s="44"/>
      <c r="DP198" s="44"/>
      <c r="DQ198" s="44"/>
      <c r="DR198" s="44"/>
      <c r="DS198" s="68"/>
      <c r="DT198" s="68"/>
      <c r="DU198" s="121"/>
      <c r="DV198" s="118"/>
      <c r="DW198" s="71"/>
      <c r="DX198" s="71"/>
      <c r="DY198" s="122"/>
      <c r="DZ198" s="221"/>
      <c r="EA198" s="221"/>
      <c r="EB198" s="68"/>
      <c r="EC198" s="44"/>
      <c r="ED198" s="44"/>
      <c r="EE198" s="44"/>
      <c r="EF198" s="44"/>
      <c r="EG198" s="44"/>
      <c r="EH198" s="44"/>
      <c r="EI198" s="68"/>
      <c r="EJ198" s="68"/>
      <c r="EK198" s="121"/>
      <c r="EL198" s="118"/>
      <c r="EM198" s="71"/>
      <c r="EN198" s="71"/>
      <c r="EO198" s="122"/>
      <c r="EP198" s="221"/>
      <c r="EQ198" s="221"/>
      <c r="ER198" s="68"/>
      <c r="ES198" s="44"/>
      <c r="ET198" s="44"/>
      <c r="EU198" s="44"/>
      <c r="EV198" s="44"/>
      <c r="EW198" s="44"/>
      <c r="EX198" s="44"/>
      <c r="EY198" s="68"/>
      <c r="EZ198" s="68"/>
      <c r="FA198" s="121"/>
      <c r="FB198" s="118"/>
      <c r="FC198" s="71"/>
      <c r="FD198" s="71"/>
      <c r="FE198" s="122"/>
      <c r="FF198" s="221"/>
      <c r="FG198" s="221"/>
      <c r="FH198" s="68"/>
      <c r="FI198" s="44"/>
      <c r="FJ198" s="44"/>
      <c r="FK198" s="44"/>
      <c r="FL198" s="44"/>
      <c r="FM198" s="44"/>
      <c r="FN198" s="44"/>
      <c r="FO198" s="68"/>
      <c r="FP198" s="68"/>
      <c r="FQ198" s="121"/>
      <c r="FR198" s="118"/>
      <c r="FS198" s="71"/>
      <c r="FT198" s="71"/>
      <c r="FU198" s="122"/>
      <c r="FV198" s="221"/>
      <c r="FW198" s="221"/>
      <c r="FX198" s="68"/>
      <c r="FY198" s="44"/>
      <c r="FZ198" s="44"/>
      <c r="GA198" s="44"/>
      <c r="GB198" s="44"/>
      <c r="GC198" s="44"/>
      <c r="GD198" s="44"/>
      <c r="GE198" s="68"/>
      <c r="GF198" s="68"/>
      <c r="GG198" s="121"/>
      <c r="GH198" s="118"/>
      <c r="GI198" s="71"/>
      <c r="GJ198" s="71"/>
      <c r="GK198" s="122"/>
      <c r="GL198" s="221"/>
      <c r="GM198" s="221"/>
      <c r="GN198" s="68"/>
      <c r="GO198" s="44"/>
      <c r="GP198" s="44"/>
      <c r="GQ198" s="44"/>
      <c r="GR198" s="44"/>
      <c r="GS198" s="44"/>
      <c r="GT198" s="44"/>
      <c r="GU198" s="68"/>
      <c r="GV198" s="68"/>
      <c r="GW198" s="121"/>
      <c r="GX198" s="118"/>
      <c r="GY198" s="71"/>
      <c r="GZ198" s="71"/>
      <c r="HA198" s="122"/>
      <c r="HB198" s="221"/>
      <c r="HC198" s="221"/>
      <c r="HD198" s="68"/>
      <c r="HE198" s="44"/>
      <c r="HF198" s="44"/>
      <c r="HG198" s="44"/>
      <c r="HH198" s="44"/>
      <c r="HI198" s="44"/>
      <c r="HJ198" s="44"/>
      <c r="HK198" s="68"/>
      <c r="HL198" s="68"/>
      <c r="HM198" s="121"/>
      <c r="HN198" s="118"/>
      <c r="HO198" s="71"/>
      <c r="HP198" s="71"/>
      <c r="HQ198" s="122"/>
      <c r="HR198" s="221"/>
      <c r="HS198" s="221"/>
      <c r="HT198" s="68"/>
      <c r="HU198" s="44"/>
      <c r="HV198" s="44"/>
      <c r="HW198" s="44"/>
      <c r="HX198" s="44"/>
      <c r="HY198" s="44"/>
      <c r="HZ198" s="44"/>
      <c r="IA198" s="68"/>
      <c r="IB198" s="68"/>
      <c r="IC198" s="121"/>
      <c r="ID198" s="118"/>
      <c r="IE198" s="71"/>
      <c r="IF198" s="71"/>
      <c r="IG198" s="122"/>
      <c r="IH198" s="221"/>
      <c r="II198" s="221"/>
      <c r="IJ198" s="68"/>
      <c r="IK198" s="44"/>
      <c r="IL198" s="44"/>
      <c r="IM198" s="44"/>
      <c r="IN198" s="44"/>
      <c r="IO198" s="44"/>
      <c r="IP198" s="44"/>
      <c r="IQ198" s="68"/>
      <c r="IR198" s="68"/>
      <c r="IS198" s="121"/>
      <c r="IT198" s="118"/>
      <c r="IU198" s="71"/>
      <c r="IV198" s="71"/>
    </row>
    <row r="199" spans="1:256" s="160" customFormat="1" ht="13.8" thickBot="1" x14ac:dyDescent="0.3">
      <c r="A199" s="94"/>
      <c r="B199" s="223"/>
      <c r="C199" s="224"/>
      <c r="D199" s="485" t="s">
        <v>4719</v>
      </c>
      <c r="E199" s="98">
        <f>221/3*2</f>
        <v>147</v>
      </c>
      <c r="F199" s="98">
        <f>217/3*2</f>
        <v>145</v>
      </c>
      <c r="G199" s="98">
        <f>218/3*2</f>
        <v>145</v>
      </c>
      <c r="H199" s="55"/>
      <c r="I199" s="62"/>
      <c r="J199" s="60"/>
      <c r="K199" s="413">
        <f t="shared" si="27"/>
        <v>437</v>
      </c>
      <c r="L199" s="414">
        <f>+K198+K199</f>
        <v>868</v>
      </c>
      <c r="M199" s="60">
        <v>23</v>
      </c>
      <c r="N199" s="63">
        <f>+L199/1200</f>
        <v>0.72299999999999998</v>
      </c>
      <c r="O199" s="98">
        <f>1457/3*2</f>
        <v>971</v>
      </c>
      <c r="P199" s="107">
        <f>1216/3*2</f>
        <v>811</v>
      </c>
      <c r="Q199" s="122"/>
      <c r="R199" s="221"/>
      <c r="S199" s="221"/>
      <c r="T199" s="68"/>
      <c r="U199" s="44"/>
      <c r="V199" s="44"/>
      <c r="W199" s="44"/>
      <c r="X199" s="44"/>
      <c r="Y199" s="44"/>
      <c r="Z199" s="44"/>
      <c r="AA199" s="68"/>
      <c r="AB199" s="68"/>
      <c r="AC199" s="44"/>
      <c r="AD199" s="118"/>
      <c r="AE199" s="71"/>
      <c r="AF199" s="71"/>
      <c r="AG199" s="122"/>
      <c r="AH199" s="221"/>
      <c r="AI199" s="221"/>
      <c r="AJ199" s="68"/>
      <c r="AK199" s="44"/>
      <c r="AL199" s="44"/>
      <c r="AM199" s="44"/>
      <c r="AN199" s="44"/>
      <c r="AO199" s="44"/>
      <c r="AP199" s="44"/>
      <c r="AQ199" s="68"/>
      <c r="AR199" s="68"/>
      <c r="AS199" s="44"/>
      <c r="AT199" s="118"/>
      <c r="AU199" s="71"/>
      <c r="AV199" s="71"/>
      <c r="AW199" s="122"/>
      <c r="AX199" s="221"/>
      <c r="AY199" s="221"/>
      <c r="AZ199" s="68"/>
      <c r="BA199" s="44"/>
      <c r="BB199" s="44"/>
      <c r="BC199" s="44"/>
      <c r="BD199" s="44"/>
      <c r="BE199" s="44"/>
      <c r="BF199" s="44"/>
      <c r="BG199" s="68"/>
      <c r="BH199" s="68"/>
      <c r="BI199" s="44"/>
      <c r="BJ199" s="118"/>
      <c r="BK199" s="71"/>
      <c r="BL199" s="71"/>
      <c r="BM199" s="122"/>
      <c r="BN199" s="221"/>
      <c r="BO199" s="221"/>
      <c r="BP199" s="68"/>
      <c r="BQ199" s="44"/>
      <c r="BR199" s="44"/>
      <c r="BS199" s="44"/>
      <c r="BT199" s="44"/>
      <c r="BU199" s="44"/>
      <c r="BV199" s="44"/>
      <c r="BW199" s="68"/>
      <c r="BX199" s="68"/>
      <c r="BY199" s="44"/>
      <c r="BZ199" s="118"/>
      <c r="CA199" s="71"/>
      <c r="CB199" s="71"/>
      <c r="CC199" s="122"/>
      <c r="CD199" s="221"/>
      <c r="CE199" s="221"/>
      <c r="CF199" s="68"/>
      <c r="CG199" s="44"/>
      <c r="CH199" s="44"/>
      <c r="CI199" s="44"/>
      <c r="CJ199" s="44"/>
      <c r="CK199" s="44"/>
      <c r="CL199" s="44"/>
      <c r="CM199" s="68"/>
      <c r="CN199" s="68"/>
      <c r="CO199" s="44"/>
      <c r="CP199" s="118"/>
      <c r="CQ199" s="71"/>
      <c r="CR199" s="71"/>
      <c r="CS199" s="122"/>
      <c r="CT199" s="221"/>
      <c r="CU199" s="221"/>
      <c r="CV199" s="68"/>
      <c r="CW199" s="44"/>
      <c r="CX199" s="44"/>
      <c r="CY199" s="44"/>
      <c r="CZ199" s="44"/>
      <c r="DA199" s="44"/>
      <c r="DB199" s="44"/>
      <c r="DC199" s="68"/>
      <c r="DD199" s="68"/>
      <c r="DE199" s="44"/>
      <c r="DF199" s="118"/>
      <c r="DG199" s="71"/>
      <c r="DH199" s="71"/>
      <c r="DI199" s="122"/>
      <c r="DJ199" s="221"/>
      <c r="DK199" s="221"/>
      <c r="DL199" s="68"/>
      <c r="DM199" s="44"/>
      <c r="DN199" s="44"/>
      <c r="DO199" s="44"/>
      <c r="DP199" s="44"/>
      <c r="DQ199" s="44"/>
      <c r="DR199" s="44"/>
      <c r="DS199" s="68"/>
      <c r="DT199" s="68"/>
      <c r="DU199" s="44"/>
      <c r="DV199" s="118"/>
      <c r="DW199" s="71"/>
      <c r="DX199" s="71"/>
      <c r="DY199" s="122"/>
      <c r="DZ199" s="221"/>
      <c r="EA199" s="221"/>
      <c r="EB199" s="68"/>
      <c r="EC199" s="44"/>
      <c r="ED199" s="44"/>
      <c r="EE199" s="44"/>
      <c r="EF199" s="44"/>
      <c r="EG199" s="44"/>
      <c r="EH199" s="44"/>
      <c r="EI199" s="68"/>
      <c r="EJ199" s="68"/>
      <c r="EK199" s="44"/>
      <c r="EL199" s="118"/>
      <c r="EM199" s="71"/>
      <c r="EN199" s="71"/>
      <c r="EO199" s="122"/>
      <c r="EP199" s="221"/>
      <c r="EQ199" s="221"/>
      <c r="ER199" s="68"/>
      <c r="ES199" s="44"/>
      <c r="ET199" s="44"/>
      <c r="EU199" s="44"/>
      <c r="EV199" s="44"/>
      <c r="EW199" s="44"/>
      <c r="EX199" s="44"/>
      <c r="EY199" s="68"/>
      <c r="EZ199" s="68"/>
      <c r="FA199" s="44"/>
      <c r="FB199" s="118"/>
      <c r="FC199" s="71"/>
      <c r="FD199" s="71"/>
      <c r="FE199" s="122"/>
      <c r="FF199" s="221"/>
      <c r="FG199" s="221"/>
      <c r="FH199" s="68"/>
      <c r="FI199" s="44"/>
      <c r="FJ199" s="44"/>
      <c r="FK199" s="44"/>
      <c r="FL199" s="44"/>
      <c r="FM199" s="44"/>
      <c r="FN199" s="44"/>
      <c r="FO199" s="68"/>
      <c r="FP199" s="68"/>
      <c r="FQ199" s="44"/>
      <c r="FR199" s="118"/>
      <c r="FS199" s="71"/>
      <c r="FT199" s="71"/>
      <c r="FU199" s="122"/>
      <c r="FV199" s="221"/>
      <c r="FW199" s="221"/>
      <c r="FX199" s="68"/>
      <c r="FY199" s="44"/>
      <c r="FZ199" s="44"/>
      <c r="GA199" s="44"/>
      <c r="GB199" s="44"/>
      <c r="GC199" s="44"/>
      <c r="GD199" s="44"/>
      <c r="GE199" s="68"/>
      <c r="GF199" s="68"/>
      <c r="GG199" s="44"/>
      <c r="GH199" s="118"/>
      <c r="GI199" s="71"/>
      <c r="GJ199" s="71"/>
      <c r="GK199" s="122"/>
      <c r="GL199" s="221"/>
      <c r="GM199" s="221"/>
      <c r="GN199" s="68"/>
      <c r="GO199" s="44"/>
      <c r="GP199" s="44"/>
      <c r="GQ199" s="44"/>
      <c r="GR199" s="44"/>
      <c r="GS199" s="44"/>
      <c r="GT199" s="44"/>
      <c r="GU199" s="68"/>
      <c r="GV199" s="68"/>
      <c r="GW199" s="44"/>
      <c r="GX199" s="118"/>
      <c r="GY199" s="71"/>
      <c r="GZ199" s="71"/>
      <c r="HA199" s="122"/>
      <c r="HB199" s="221"/>
      <c r="HC199" s="221"/>
      <c r="HD199" s="68"/>
      <c r="HE199" s="44"/>
      <c r="HF199" s="44"/>
      <c r="HG199" s="44"/>
      <c r="HH199" s="44"/>
      <c r="HI199" s="44"/>
      <c r="HJ199" s="44"/>
      <c r="HK199" s="68"/>
      <c r="HL199" s="68"/>
      <c r="HM199" s="44"/>
      <c r="HN199" s="118"/>
      <c r="HO199" s="71"/>
      <c r="HP199" s="71"/>
      <c r="HQ199" s="122"/>
      <c r="HR199" s="221"/>
      <c r="HS199" s="221"/>
      <c r="HT199" s="68"/>
      <c r="HU199" s="44"/>
      <c r="HV199" s="44"/>
      <c r="HW199" s="44"/>
      <c r="HX199" s="44"/>
      <c r="HY199" s="44"/>
      <c r="HZ199" s="44"/>
      <c r="IA199" s="68"/>
      <c r="IB199" s="68"/>
      <c r="IC199" s="44"/>
      <c r="ID199" s="118"/>
      <c r="IE199" s="71"/>
      <c r="IF199" s="71"/>
      <c r="IG199" s="122"/>
      <c r="IH199" s="221"/>
      <c r="II199" s="221"/>
      <c r="IJ199" s="68"/>
      <c r="IK199" s="44"/>
      <c r="IL199" s="44"/>
      <c r="IM199" s="44"/>
      <c r="IN199" s="44"/>
      <c r="IO199" s="44"/>
      <c r="IP199" s="44"/>
      <c r="IQ199" s="68"/>
      <c r="IR199" s="68"/>
      <c r="IS199" s="44"/>
      <c r="IT199" s="118"/>
      <c r="IU199" s="71"/>
      <c r="IV199" s="71"/>
    </row>
    <row r="200" spans="1:256" s="160" customFormat="1" x14ac:dyDescent="0.25">
      <c r="A200" s="122"/>
      <c r="B200" s="221"/>
      <c r="C200" s="489" t="s">
        <v>1017</v>
      </c>
      <c r="D200" s="68"/>
      <c r="E200" s="44"/>
      <c r="F200" s="44"/>
      <c r="G200" s="44"/>
      <c r="H200" s="44"/>
      <c r="I200" s="44"/>
      <c r="J200" s="44"/>
      <c r="K200" s="68"/>
      <c r="L200" s="68"/>
      <c r="M200" s="44"/>
      <c r="N200" s="118"/>
      <c r="O200" s="71"/>
      <c r="P200" s="71"/>
      <c r="Q200" s="122"/>
      <c r="R200" s="221"/>
      <c r="S200" s="221"/>
      <c r="T200" s="68"/>
      <c r="U200" s="44"/>
      <c r="V200" s="44"/>
      <c r="W200" s="44"/>
      <c r="X200" s="44"/>
      <c r="Y200" s="44"/>
      <c r="Z200" s="44"/>
      <c r="AA200" s="68"/>
      <c r="AB200" s="68"/>
      <c r="AC200" s="44"/>
      <c r="AD200" s="118"/>
      <c r="AE200" s="71"/>
      <c r="AF200" s="71"/>
      <c r="AG200" s="122"/>
      <c r="AH200" s="221"/>
      <c r="AI200" s="221"/>
      <c r="AJ200" s="68"/>
      <c r="AK200" s="44"/>
      <c r="AL200" s="44"/>
      <c r="AM200" s="44"/>
      <c r="AN200" s="44"/>
      <c r="AO200" s="44"/>
      <c r="AP200" s="44"/>
      <c r="AQ200" s="68"/>
      <c r="AR200" s="68"/>
      <c r="AS200" s="44"/>
      <c r="AT200" s="118"/>
      <c r="AU200" s="71"/>
      <c r="AV200" s="71"/>
      <c r="AW200" s="122"/>
      <c r="AX200" s="221"/>
      <c r="AY200" s="221"/>
      <c r="AZ200" s="68"/>
      <c r="BA200" s="44"/>
      <c r="BB200" s="44"/>
      <c r="BC200" s="44"/>
      <c r="BD200" s="44"/>
      <c r="BE200" s="44"/>
      <c r="BF200" s="44"/>
      <c r="BG200" s="68"/>
      <c r="BH200" s="68"/>
      <c r="BI200" s="44"/>
      <c r="BJ200" s="118"/>
      <c r="BK200" s="71"/>
      <c r="BL200" s="71"/>
      <c r="BM200" s="122"/>
      <c r="BN200" s="221"/>
      <c r="BO200" s="221"/>
      <c r="BP200" s="68"/>
      <c r="BQ200" s="44"/>
      <c r="BR200" s="44"/>
      <c r="BS200" s="44"/>
      <c r="BT200" s="44"/>
      <c r="BU200" s="44"/>
      <c r="BV200" s="44"/>
      <c r="BW200" s="68"/>
      <c r="BX200" s="68"/>
      <c r="BY200" s="44"/>
      <c r="BZ200" s="118"/>
      <c r="CA200" s="71"/>
      <c r="CB200" s="71"/>
      <c r="CC200" s="122"/>
      <c r="CD200" s="221"/>
      <c r="CE200" s="221"/>
      <c r="CF200" s="68"/>
      <c r="CG200" s="44"/>
      <c r="CH200" s="44"/>
      <c r="CI200" s="44"/>
      <c r="CJ200" s="44"/>
      <c r="CK200" s="44"/>
      <c r="CL200" s="44"/>
      <c r="CM200" s="68"/>
      <c r="CN200" s="68"/>
      <c r="CO200" s="44"/>
      <c r="CP200" s="118"/>
      <c r="CQ200" s="71"/>
      <c r="CR200" s="71"/>
      <c r="CS200" s="122"/>
      <c r="CT200" s="221"/>
      <c r="CU200" s="221"/>
      <c r="CV200" s="68"/>
      <c r="CW200" s="44"/>
      <c r="CX200" s="44"/>
      <c r="CY200" s="44"/>
      <c r="CZ200" s="44"/>
      <c r="DA200" s="44"/>
      <c r="DB200" s="44"/>
      <c r="DC200" s="68"/>
      <c r="DD200" s="68"/>
      <c r="DE200" s="44"/>
      <c r="DF200" s="118"/>
      <c r="DG200" s="71"/>
      <c r="DH200" s="71"/>
      <c r="DI200" s="122"/>
      <c r="DJ200" s="221"/>
      <c r="DK200" s="221"/>
      <c r="DL200" s="68"/>
      <c r="DM200" s="44"/>
      <c r="DN200" s="44"/>
      <c r="DO200" s="44"/>
      <c r="DP200" s="44"/>
      <c r="DQ200" s="44"/>
      <c r="DR200" s="44"/>
      <c r="DS200" s="68"/>
      <c r="DT200" s="68"/>
      <c r="DU200" s="44"/>
      <c r="DV200" s="118"/>
      <c r="DW200" s="71"/>
      <c r="DX200" s="71"/>
      <c r="DY200" s="122"/>
      <c r="DZ200" s="221"/>
      <c r="EA200" s="221"/>
      <c r="EB200" s="68"/>
      <c r="EC200" s="44"/>
      <c r="ED200" s="44"/>
      <c r="EE200" s="44"/>
      <c r="EF200" s="44"/>
      <c r="EG200" s="44"/>
      <c r="EH200" s="44"/>
      <c r="EI200" s="68"/>
      <c r="EJ200" s="68"/>
      <c r="EK200" s="44"/>
      <c r="EL200" s="118"/>
      <c r="EM200" s="71"/>
      <c r="EN200" s="71"/>
      <c r="EO200" s="122"/>
      <c r="EP200" s="221"/>
      <c r="EQ200" s="221"/>
      <c r="ER200" s="68"/>
      <c r="ES200" s="44"/>
      <c r="ET200" s="44"/>
      <c r="EU200" s="44"/>
      <c r="EV200" s="44"/>
      <c r="EW200" s="44"/>
      <c r="EX200" s="44"/>
      <c r="EY200" s="68"/>
      <c r="EZ200" s="68"/>
      <c r="FA200" s="44"/>
      <c r="FB200" s="118"/>
      <c r="FC200" s="71"/>
      <c r="FD200" s="71"/>
      <c r="FE200" s="122"/>
      <c r="FF200" s="221"/>
      <c r="FG200" s="221"/>
      <c r="FH200" s="68"/>
      <c r="FI200" s="44"/>
      <c r="FJ200" s="44"/>
      <c r="FK200" s="44"/>
      <c r="FL200" s="44"/>
      <c r="FM200" s="44"/>
      <c r="FN200" s="44"/>
      <c r="FO200" s="68"/>
      <c r="FP200" s="68"/>
      <c r="FQ200" s="44"/>
      <c r="FR200" s="118"/>
      <c r="FS200" s="71"/>
      <c r="FT200" s="71"/>
      <c r="FU200" s="122"/>
      <c r="FV200" s="221"/>
      <c r="FW200" s="221"/>
      <c r="FX200" s="68"/>
      <c r="FY200" s="44"/>
      <c r="FZ200" s="44"/>
      <c r="GA200" s="44"/>
      <c r="GB200" s="44"/>
      <c r="GC200" s="44"/>
      <c r="GD200" s="44"/>
      <c r="GE200" s="68"/>
      <c r="GF200" s="68"/>
      <c r="GG200" s="44"/>
      <c r="GH200" s="118"/>
      <c r="GI200" s="71"/>
      <c r="GJ200" s="71"/>
      <c r="GK200" s="122"/>
      <c r="GL200" s="221"/>
      <c r="GM200" s="221"/>
      <c r="GN200" s="68"/>
      <c r="GO200" s="44"/>
      <c r="GP200" s="44"/>
      <c r="GQ200" s="44"/>
      <c r="GR200" s="44"/>
      <c r="GS200" s="44"/>
      <c r="GT200" s="44"/>
      <c r="GU200" s="68"/>
      <c r="GV200" s="68"/>
      <c r="GW200" s="44"/>
      <c r="GX200" s="118"/>
      <c r="GY200" s="71"/>
      <c r="GZ200" s="71"/>
      <c r="HA200" s="122"/>
      <c r="HB200" s="221"/>
      <c r="HC200" s="221"/>
      <c r="HD200" s="68"/>
      <c r="HE200" s="44"/>
      <c r="HF200" s="44"/>
      <c r="HG200" s="44"/>
      <c r="HH200" s="44"/>
      <c r="HI200" s="44"/>
      <c r="HJ200" s="44"/>
      <c r="HK200" s="68"/>
      <c r="HL200" s="68"/>
      <c r="HM200" s="44"/>
      <c r="HN200" s="118"/>
      <c r="HO200" s="71"/>
      <c r="HP200" s="71"/>
      <c r="HQ200" s="122"/>
      <c r="HR200" s="221"/>
      <c r="HS200" s="221"/>
      <c r="HT200" s="68"/>
      <c r="HU200" s="44"/>
      <c r="HV200" s="44"/>
      <c r="HW200" s="44"/>
      <c r="HX200" s="44"/>
      <c r="HY200" s="44"/>
      <c r="HZ200" s="44"/>
      <c r="IA200" s="68"/>
      <c r="IB200" s="68"/>
      <c r="IC200" s="44"/>
      <c r="ID200" s="118"/>
      <c r="IE200" s="71"/>
      <c r="IF200" s="71"/>
      <c r="IG200" s="122"/>
      <c r="IH200" s="221"/>
      <c r="II200" s="221"/>
      <c r="IJ200" s="68"/>
      <c r="IK200" s="44"/>
      <c r="IL200" s="44"/>
      <c r="IM200" s="44"/>
      <c r="IN200" s="44"/>
      <c r="IO200" s="44"/>
      <c r="IP200" s="44"/>
      <c r="IQ200" s="68"/>
      <c r="IR200" s="68"/>
      <c r="IS200" s="44"/>
      <c r="IT200" s="118"/>
      <c r="IU200" s="71"/>
      <c r="IV200" s="71"/>
    </row>
    <row r="201" spans="1:256" s="160" customFormat="1" x14ac:dyDescent="0.25">
      <c r="A201" s="122"/>
      <c r="B201" s="221"/>
      <c r="C201" s="221"/>
      <c r="D201" s="68"/>
      <c r="E201" s="44"/>
      <c r="F201" s="44"/>
      <c r="G201" s="44"/>
      <c r="H201" s="44"/>
      <c r="I201" s="44"/>
      <c r="J201" s="44"/>
      <c r="K201" s="68"/>
      <c r="L201" s="68"/>
      <c r="M201" s="44"/>
      <c r="N201" s="118"/>
      <c r="O201" s="71"/>
      <c r="P201" s="71"/>
      <c r="Q201" s="122"/>
      <c r="R201" s="221"/>
      <c r="S201" s="221"/>
      <c r="T201" s="68"/>
      <c r="U201" s="44"/>
      <c r="V201" s="44"/>
      <c r="W201" s="44"/>
      <c r="X201" s="44"/>
      <c r="Y201" s="44"/>
      <c r="Z201" s="44"/>
      <c r="AA201" s="68"/>
      <c r="AB201" s="68"/>
      <c r="AC201" s="44"/>
      <c r="AD201" s="118"/>
      <c r="AE201" s="71"/>
      <c r="AF201" s="71"/>
      <c r="AG201" s="122"/>
      <c r="AH201" s="221"/>
      <c r="AI201" s="221"/>
      <c r="AJ201" s="68"/>
      <c r="AK201" s="44"/>
      <c r="AL201" s="44"/>
      <c r="AM201" s="44"/>
      <c r="AN201" s="44"/>
      <c r="AO201" s="44"/>
      <c r="AP201" s="44"/>
      <c r="AQ201" s="68"/>
      <c r="AR201" s="68"/>
      <c r="AS201" s="44"/>
      <c r="AT201" s="118"/>
      <c r="AU201" s="71"/>
      <c r="AV201" s="71"/>
      <c r="AW201" s="122"/>
      <c r="AX201" s="221"/>
      <c r="AY201" s="221"/>
      <c r="AZ201" s="68"/>
      <c r="BA201" s="44"/>
      <c r="BB201" s="44"/>
      <c r="BC201" s="44"/>
      <c r="BD201" s="44"/>
      <c r="BE201" s="44"/>
      <c r="BF201" s="44"/>
      <c r="BG201" s="68"/>
      <c r="BH201" s="68"/>
      <c r="BI201" s="44"/>
      <c r="BJ201" s="118"/>
      <c r="BK201" s="71"/>
      <c r="BL201" s="71"/>
      <c r="BM201" s="122"/>
      <c r="BN201" s="221"/>
      <c r="BO201" s="221"/>
      <c r="BP201" s="68"/>
      <c r="BQ201" s="44"/>
      <c r="BR201" s="44"/>
      <c r="BS201" s="44"/>
      <c r="BT201" s="44"/>
      <c r="BU201" s="44"/>
      <c r="BV201" s="44"/>
      <c r="BW201" s="68"/>
      <c r="BX201" s="68"/>
      <c r="BY201" s="44"/>
      <c r="BZ201" s="118"/>
      <c r="CA201" s="71"/>
      <c r="CB201" s="71"/>
      <c r="CC201" s="122"/>
      <c r="CD201" s="221"/>
      <c r="CE201" s="221"/>
      <c r="CF201" s="68"/>
      <c r="CG201" s="44"/>
      <c r="CH201" s="44"/>
      <c r="CI201" s="44"/>
      <c r="CJ201" s="44"/>
      <c r="CK201" s="44"/>
      <c r="CL201" s="44"/>
      <c r="CM201" s="68"/>
      <c r="CN201" s="68"/>
      <c r="CO201" s="44"/>
      <c r="CP201" s="118"/>
      <c r="CQ201" s="71"/>
      <c r="CR201" s="71"/>
      <c r="CS201" s="122"/>
      <c r="CT201" s="221"/>
      <c r="CU201" s="221"/>
      <c r="CV201" s="68"/>
      <c r="CW201" s="44"/>
      <c r="CX201" s="44"/>
      <c r="CY201" s="44"/>
      <c r="CZ201" s="44"/>
      <c r="DA201" s="44"/>
      <c r="DB201" s="44"/>
      <c r="DC201" s="68"/>
      <c r="DD201" s="68"/>
      <c r="DE201" s="44"/>
      <c r="DF201" s="118"/>
      <c r="DG201" s="71"/>
      <c r="DH201" s="71"/>
      <c r="DI201" s="122"/>
      <c r="DJ201" s="221"/>
      <c r="DK201" s="221"/>
      <c r="DL201" s="68"/>
      <c r="DM201" s="44"/>
      <c r="DN201" s="44"/>
      <c r="DO201" s="44"/>
      <c r="DP201" s="44"/>
      <c r="DQ201" s="44"/>
      <c r="DR201" s="44"/>
      <c r="DS201" s="68"/>
      <c r="DT201" s="68"/>
      <c r="DU201" s="44"/>
      <c r="DV201" s="118"/>
      <c r="DW201" s="71"/>
      <c r="DX201" s="71"/>
      <c r="DY201" s="122"/>
      <c r="DZ201" s="221"/>
      <c r="EA201" s="221"/>
      <c r="EB201" s="68"/>
      <c r="EC201" s="44"/>
      <c r="ED201" s="44"/>
      <c r="EE201" s="44"/>
      <c r="EF201" s="44"/>
      <c r="EG201" s="44"/>
      <c r="EH201" s="44"/>
      <c r="EI201" s="68"/>
      <c r="EJ201" s="68"/>
      <c r="EK201" s="44"/>
      <c r="EL201" s="118"/>
      <c r="EM201" s="71"/>
      <c r="EN201" s="71"/>
      <c r="EO201" s="122"/>
      <c r="EP201" s="221"/>
      <c r="EQ201" s="221"/>
      <c r="ER201" s="68"/>
      <c r="ES201" s="44"/>
      <c r="ET201" s="44"/>
      <c r="EU201" s="44"/>
      <c r="EV201" s="44"/>
      <c r="EW201" s="44"/>
      <c r="EX201" s="44"/>
      <c r="EY201" s="68"/>
      <c r="EZ201" s="68"/>
      <c r="FA201" s="44"/>
      <c r="FB201" s="118"/>
      <c r="FC201" s="71"/>
      <c r="FD201" s="71"/>
      <c r="FE201" s="122"/>
      <c r="FF201" s="221"/>
      <c r="FG201" s="221"/>
      <c r="FH201" s="68"/>
      <c r="FI201" s="44"/>
      <c r="FJ201" s="44"/>
      <c r="FK201" s="44"/>
      <c r="FL201" s="44"/>
      <c r="FM201" s="44"/>
      <c r="FN201" s="44"/>
      <c r="FO201" s="68"/>
      <c r="FP201" s="68"/>
      <c r="FQ201" s="44"/>
      <c r="FR201" s="118"/>
      <c r="FS201" s="71"/>
      <c r="FT201" s="71"/>
      <c r="FU201" s="122"/>
      <c r="FV201" s="221"/>
      <c r="FW201" s="221"/>
      <c r="FX201" s="68"/>
      <c r="FY201" s="44"/>
      <c r="FZ201" s="44"/>
      <c r="GA201" s="44"/>
      <c r="GB201" s="44"/>
      <c r="GC201" s="44"/>
      <c r="GD201" s="44"/>
      <c r="GE201" s="68"/>
      <c r="GF201" s="68"/>
      <c r="GG201" s="44"/>
      <c r="GH201" s="118"/>
      <c r="GI201" s="71"/>
      <c r="GJ201" s="71"/>
      <c r="GK201" s="122"/>
      <c r="GL201" s="221"/>
      <c r="GM201" s="221"/>
      <c r="GN201" s="68"/>
      <c r="GO201" s="44"/>
      <c r="GP201" s="44"/>
      <c r="GQ201" s="44"/>
      <c r="GR201" s="44"/>
      <c r="GS201" s="44"/>
      <c r="GT201" s="44"/>
      <c r="GU201" s="68"/>
      <c r="GV201" s="68"/>
      <c r="GW201" s="44"/>
      <c r="GX201" s="118"/>
      <c r="GY201" s="71"/>
      <c r="GZ201" s="71"/>
      <c r="HA201" s="122"/>
      <c r="HB201" s="221"/>
      <c r="HC201" s="221"/>
      <c r="HD201" s="68"/>
      <c r="HE201" s="44"/>
      <c r="HF201" s="44"/>
      <c r="HG201" s="44"/>
      <c r="HH201" s="44"/>
      <c r="HI201" s="44"/>
      <c r="HJ201" s="44"/>
      <c r="HK201" s="68"/>
      <c r="HL201" s="68"/>
      <c r="HM201" s="44"/>
      <c r="HN201" s="118"/>
      <c r="HO201" s="71"/>
      <c r="HP201" s="71"/>
      <c r="HQ201" s="122"/>
      <c r="HR201" s="221"/>
      <c r="HS201" s="221"/>
      <c r="HT201" s="68"/>
      <c r="HU201" s="44"/>
      <c r="HV201" s="44"/>
      <c r="HW201" s="44"/>
      <c r="HX201" s="44"/>
      <c r="HY201" s="44"/>
      <c r="HZ201" s="44"/>
      <c r="IA201" s="68"/>
      <c r="IB201" s="68"/>
      <c r="IC201" s="44"/>
      <c r="ID201" s="118"/>
      <c r="IE201" s="71"/>
      <c r="IF201" s="71"/>
      <c r="IG201" s="122"/>
      <c r="IH201" s="221"/>
      <c r="II201" s="221"/>
      <c r="IJ201" s="68"/>
      <c r="IK201" s="44"/>
      <c r="IL201" s="44"/>
      <c r="IM201" s="44"/>
      <c r="IN201" s="44"/>
      <c r="IO201" s="44"/>
      <c r="IP201" s="44"/>
      <c r="IQ201" s="68"/>
      <c r="IR201" s="68"/>
      <c r="IS201" s="44"/>
      <c r="IT201" s="118"/>
      <c r="IU201" s="71"/>
      <c r="IV201" s="71"/>
    </row>
    <row r="202" spans="1:256" s="160" customFormat="1" x14ac:dyDescent="0.25">
      <c r="A202" s="122"/>
      <c r="B202" s="221"/>
      <c r="C202" s="221"/>
      <c r="D202" s="68"/>
      <c r="E202" s="44"/>
      <c r="F202" s="44"/>
      <c r="G202" s="44"/>
      <c r="H202" s="44"/>
      <c r="I202" s="44"/>
      <c r="J202" s="44"/>
      <c r="K202" s="68"/>
      <c r="L202" s="68"/>
      <c r="M202" s="44"/>
      <c r="N202" s="118"/>
      <c r="O202" s="71"/>
      <c r="P202" s="71"/>
      <c r="Q202" s="122"/>
      <c r="R202" s="221"/>
      <c r="S202" s="221"/>
      <c r="T202" s="68"/>
      <c r="U202" s="44"/>
      <c r="V202" s="44"/>
      <c r="W202" s="44"/>
      <c r="X202" s="44"/>
      <c r="Y202" s="44"/>
      <c r="Z202" s="44"/>
      <c r="AA202" s="68"/>
      <c r="AB202" s="68"/>
      <c r="AC202" s="44"/>
      <c r="AD202" s="118"/>
      <c r="AE202" s="71"/>
      <c r="AF202" s="71"/>
      <c r="AG202" s="122"/>
      <c r="AH202" s="221"/>
      <c r="AI202" s="221"/>
      <c r="AJ202" s="68"/>
      <c r="AK202" s="44"/>
      <c r="AL202" s="44"/>
      <c r="AM202" s="44"/>
      <c r="AN202" s="44"/>
      <c r="AO202" s="44"/>
      <c r="AP202" s="44"/>
      <c r="AQ202" s="68"/>
      <c r="AR202" s="68"/>
      <c r="AS202" s="44"/>
      <c r="AT202" s="118"/>
      <c r="AU202" s="71"/>
      <c r="AV202" s="71"/>
      <c r="AW202" s="122"/>
      <c r="AX202" s="221"/>
      <c r="AY202" s="221"/>
      <c r="AZ202" s="68"/>
      <c r="BA202" s="44"/>
      <c r="BB202" s="44"/>
      <c r="BC202" s="44"/>
      <c r="BD202" s="44"/>
      <c r="BE202" s="44"/>
      <c r="BF202" s="44"/>
      <c r="BG202" s="68"/>
      <c r="BH202" s="68"/>
      <c r="BI202" s="44"/>
      <c r="BJ202" s="118"/>
      <c r="BK202" s="71"/>
      <c r="BL202" s="71"/>
      <c r="BM202" s="122"/>
      <c r="BN202" s="221"/>
      <c r="BO202" s="221"/>
      <c r="BP202" s="68"/>
      <c r="BQ202" s="44"/>
      <c r="BR202" s="44"/>
      <c r="BS202" s="44"/>
      <c r="BT202" s="44"/>
      <c r="BU202" s="44"/>
      <c r="BV202" s="44"/>
      <c r="BW202" s="68"/>
      <c r="BX202" s="68"/>
      <c r="BY202" s="44"/>
      <c r="BZ202" s="118"/>
      <c r="CA202" s="71"/>
      <c r="CB202" s="71"/>
      <c r="CC202" s="122"/>
      <c r="CD202" s="221"/>
      <c r="CE202" s="221"/>
      <c r="CF202" s="68"/>
      <c r="CG202" s="44"/>
      <c r="CH202" s="44"/>
      <c r="CI202" s="44"/>
      <c r="CJ202" s="44"/>
      <c r="CK202" s="44"/>
      <c r="CL202" s="44"/>
      <c r="CM202" s="68"/>
      <c r="CN202" s="68"/>
      <c r="CO202" s="44"/>
      <c r="CP202" s="118"/>
      <c r="CQ202" s="71"/>
      <c r="CR202" s="71"/>
      <c r="CS202" s="122"/>
      <c r="CT202" s="221"/>
      <c r="CU202" s="221"/>
      <c r="CV202" s="68"/>
      <c r="CW202" s="44"/>
      <c r="CX202" s="44"/>
      <c r="CY202" s="44"/>
      <c r="CZ202" s="44"/>
      <c r="DA202" s="44"/>
      <c r="DB202" s="44"/>
      <c r="DC202" s="68"/>
      <c r="DD202" s="68"/>
      <c r="DE202" s="44"/>
      <c r="DF202" s="118"/>
      <c r="DG202" s="71"/>
      <c r="DH202" s="71"/>
      <c r="DI202" s="122"/>
      <c r="DJ202" s="221"/>
      <c r="DK202" s="221"/>
      <c r="DL202" s="68"/>
      <c r="DM202" s="44"/>
      <c r="DN202" s="44"/>
      <c r="DO202" s="44"/>
      <c r="DP202" s="44"/>
      <c r="DQ202" s="44"/>
      <c r="DR202" s="44"/>
      <c r="DS202" s="68"/>
      <c r="DT202" s="68"/>
      <c r="DU202" s="44"/>
      <c r="DV202" s="118"/>
      <c r="DW202" s="71"/>
      <c r="DX202" s="71"/>
      <c r="DY202" s="122"/>
      <c r="DZ202" s="221"/>
      <c r="EA202" s="221"/>
      <c r="EB202" s="68"/>
      <c r="EC202" s="44"/>
      <c r="ED202" s="44"/>
      <c r="EE202" s="44"/>
      <c r="EF202" s="44"/>
      <c r="EG202" s="44"/>
      <c r="EH202" s="44"/>
      <c r="EI202" s="68"/>
      <c r="EJ202" s="68"/>
      <c r="EK202" s="44"/>
      <c r="EL202" s="118"/>
      <c r="EM202" s="71"/>
      <c r="EN202" s="71"/>
      <c r="EO202" s="122"/>
      <c r="EP202" s="221"/>
      <c r="EQ202" s="221"/>
      <c r="ER202" s="68"/>
      <c r="ES202" s="44"/>
      <c r="ET202" s="44"/>
      <c r="EU202" s="44"/>
      <c r="EV202" s="44"/>
      <c r="EW202" s="44"/>
      <c r="EX202" s="44"/>
      <c r="EY202" s="68"/>
      <c r="EZ202" s="68"/>
      <c r="FA202" s="44"/>
      <c r="FB202" s="118"/>
      <c r="FC202" s="71"/>
      <c r="FD202" s="71"/>
      <c r="FE202" s="122"/>
      <c r="FF202" s="221"/>
      <c r="FG202" s="221"/>
      <c r="FH202" s="68"/>
      <c r="FI202" s="44"/>
      <c r="FJ202" s="44"/>
      <c r="FK202" s="44"/>
      <c r="FL202" s="44"/>
      <c r="FM202" s="44"/>
      <c r="FN202" s="44"/>
      <c r="FO202" s="68"/>
      <c r="FP202" s="68"/>
      <c r="FQ202" s="44"/>
      <c r="FR202" s="118"/>
      <c r="FS202" s="71"/>
      <c r="FT202" s="71"/>
      <c r="FU202" s="122"/>
      <c r="FV202" s="221"/>
      <c r="FW202" s="221"/>
      <c r="FX202" s="68"/>
      <c r="FY202" s="44"/>
      <c r="FZ202" s="44"/>
      <c r="GA202" s="44"/>
      <c r="GB202" s="44"/>
      <c r="GC202" s="44"/>
      <c r="GD202" s="44"/>
      <c r="GE202" s="68"/>
      <c r="GF202" s="68"/>
      <c r="GG202" s="44"/>
      <c r="GH202" s="118"/>
      <c r="GI202" s="71"/>
      <c r="GJ202" s="71"/>
      <c r="GK202" s="122"/>
      <c r="GL202" s="221"/>
      <c r="GM202" s="221"/>
      <c r="GN202" s="68"/>
      <c r="GO202" s="44"/>
      <c r="GP202" s="44"/>
      <c r="GQ202" s="44"/>
      <c r="GR202" s="44"/>
      <c r="GS202" s="44"/>
      <c r="GT202" s="44"/>
      <c r="GU202" s="68"/>
      <c r="GV202" s="68"/>
      <c r="GW202" s="44"/>
      <c r="GX202" s="118"/>
      <c r="GY202" s="71"/>
      <c r="GZ202" s="71"/>
      <c r="HA202" s="122"/>
      <c r="HB202" s="221"/>
      <c r="HC202" s="221"/>
      <c r="HD202" s="68"/>
      <c r="HE202" s="44"/>
      <c r="HF202" s="44"/>
      <c r="HG202" s="44"/>
      <c r="HH202" s="44"/>
      <c r="HI202" s="44"/>
      <c r="HJ202" s="44"/>
      <c r="HK202" s="68"/>
      <c r="HL202" s="68"/>
      <c r="HM202" s="44"/>
      <c r="HN202" s="118"/>
      <c r="HO202" s="71"/>
      <c r="HP202" s="71"/>
      <c r="HQ202" s="122"/>
      <c r="HR202" s="221"/>
      <c r="HS202" s="221"/>
      <c r="HT202" s="68"/>
      <c r="HU202" s="44"/>
      <c r="HV202" s="44"/>
      <c r="HW202" s="44"/>
      <c r="HX202" s="44"/>
      <c r="HY202" s="44"/>
      <c r="HZ202" s="44"/>
      <c r="IA202" s="68"/>
      <c r="IB202" s="68"/>
      <c r="IC202" s="44"/>
      <c r="ID202" s="118"/>
      <c r="IE202" s="71"/>
      <c r="IF202" s="71"/>
      <c r="IG202" s="122"/>
      <c r="IH202" s="221"/>
      <c r="II202" s="221"/>
      <c r="IJ202" s="68"/>
      <c r="IK202" s="44"/>
      <c r="IL202" s="44"/>
      <c r="IM202" s="44"/>
      <c r="IN202" s="44"/>
      <c r="IO202" s="44"/>
      <c r="IP202" s="44"/>
      <c r="IQ202" s="68"/>
      <c r="IR202" s="68"/>
      <c r="IS202" s="44"/>
      <c r="IT202" s="118"/>
      <c r="IU202" s="71"/>
      <c r="IV202" s="71"/>
    </row>
    <row r="203" spans="1:256" s="160" customFormat="1" x14ac:dyDescent="0.25">
      <c r="A203" s="122"/>
      <c r="B203" s="221"/>
      <c r="C203" s="221"/>
      <c r="D203" s="68"/>
      <c r="E203" s="44"/>
      <c r="F203" s="44"/>
      <c r="G203" s="44"/>
      <c r="H203" s="44"/>
      <c r="I203" s="44"/>
      <c r="J203" s="44"/>
      <c r="K203" s="68"/>
      <c r="L203" s="68"/>
      <c r="M203" s="44"/>
      <c r="N203" s="118"/>
      <c r="O203" s="71"/>
      <c r="P203" s="71"/>
      <c r="Q203" s="122"/>
      <c r="R203" s="221"/>
      <c r="S203" s="221"/>
      <c r="T203" s="68"/>
      <c r="U203" s="44"/>
      <c r="V203" s="44"/>
      <c r="W203" s="44"/>
      <c r="X203" s="44"/>
      <c r="Y203" s="44"/>
      <c r="Z203" s="44"/>
      <c r="AA203" s="68"/>
      <c r="AB203" s="68"/>
      <c r="AC203" s="44"/>
      <c r="AD203" s="118"/>
      <c r="AE203" s="71"/>
      <c r="AF203" s="71"/>
      <c r="AG203" s="122"/>
      <c r="AH203" s="221"/>
      <c r="AI203" s="221"/>
      <c r="AJ203" s="68"/>
      <c r="AK203" s="44"/>
      <c r="AL203" s="44"/>
      <c r="AM203" s="44"/>
      <c r="AN203" s="44"/>
      <c r="AO203" s="44"/>
      <c r="AP203" s="44"/>
      <c r="AQ203" s="68"/>
      <c r="AR203" s="68"/>
      <c r="AS203" s="44"/>
      <c r="AT203" s="118"/>
      <c r="AU203" s="71"/>
      <c r="AV203" s="71"/>
      <c r="AW203" s="122"/>
      <c r="AX203" s="221"/>
      <c r="AY203" s="221"/>
      <c r="AZ203" s="68"/>
      <c r="BA203" s="44"/>
      <c r="BB203" s="44"/>
      <c r="BC203" s="44"/>
      <c r="BD203" s="44"/>
      <c r="BE203" s="44"/>
      <c r="BF203" s="44"/>
      <c r="BG203" s="68"/>
      <c r="BH203" s="68"/>
      <c r="BI203" s="44"/>
      <c r="BJ203" s="118"/>
      <c r="BK203" s="71"/>
      <c r="BL203" s="71"/>
      <c r="BM203" s="122"/>
      <c r="BN203" s="221"/>
      <c r="BO203" s="221"/>
      <c r="BP203" s="68"/>
      <c r="BQ203" s="44"/>
      <c r="BR203" s="44"/>
      <c r="BS203" s="44"/>
      <c r="BT203" s="44"/>
      <c r="BU203" s="44"/>
      <c r="BV203" s="44"/>
      <c r="BW203" s="68"/>
      <c r="BX203" s="68"/>
      <c r="BY203" s="44"/>
      <c r="BZ203" s="118"/>
      <c r="CA203" s="71"/>
      <c r="CB203" s="71"/>
      <c r="CC203" s="122"/>
      <c r="CD203" s="221"/>
      <c r="CE203" s="221"/>
      <c r="CF203" s="68"/>
      <c r="CG203" s="44"/>
      <c r="CH203" s="44"/>
      <c r="CI203" s="44"/>
      <c r="CJ203" s="44"/>
      <c r="CK203" s="44"/>
      <c r="CL203" s="44"/>
      <c r="CM203" s="68"/>
      <c r="CN203" s="68"/>
      <c r="CO203" s="44"/>
      <c r="CP203" s="118"/>
      <c r="CQ203" s="71"/>
      <c r="CR203" s="71"/>
      <c r="CS203" s="122"/>
      <c r="CT203" s="221"/>
      <c r="CU203" s="221"/>
      <c r="CV203" s="68"/>
      <c r="CW203" s="44"/>
      <c r="CX203" s="44"/>
      <c r="CY203" s="44"/>
      <c r="CZ203" s="44"/>
      <c r="DA203" s="44"/>
      <c r="DB203" s="44"/>
      <c r="DC203" s="68"/>
      <c r="DD203" s="68"/>
      <c r="DE203" s="44"/>
      <c r="DF203" s="118"/>
      <c r="DG203" s="71"/>
      <c r="DH203" s="71"/>
      <c r="DI203" s="122"/>
      <c r="DJ203" s="221"/>
      <c r="DK203" s="221"/>
      <c r="DL203" s="68"/>
      <c r="DM203" s="44"/>
      <c r="DN203" s="44"/>
      <c r="DO203" s="44"/>
      <c r="DP203" s="44"/>
      <c r="DQ203" s="44"/>
      <c r="DR203" s="44"/>
      <c r="DS203" s="68"/>
      <c r="DT203" s="68"/>
      <c r="DU203" s="44"/>
      <c r="DV203" s="118"/>
      <c r="DW203" s="71"/>
      <c r="DX203" s="71"/>
      <c r="DY203" s="122"/>
      <c r="DZ203" s="221"/>
      <c r="EA203" s="221"/>
      <c r="EB203" s="68"/>
      <c r="EC203" s="44"/>
      <c r="ED203" s="44"/>
      <c r="EE203" s="44"/>
      <c r="EF203" s="44"/>
      <c r="EG203" s="44"/>
      <c r="EH203" s="44"/>
      <c r="EI203" s="68"/>
      <c r="EJ203" s="68"/>
      <c r="EK203" s="44"/>
      <c r="EL203" s="118"/>
      <c r="EM203" s="71"/>
      <c r="EN203" s="71"/>
      <c r="EO203" s="122"/>
      <c r="EP203" s="221"/>
      <c r="EQ203" s="221"/>
      <c r="ER203" s="68"/>
      <c r="ES203" s="44"/>
      <c r="ET203" s="44"/>
      <c r="EU203" s="44"/>
      <c r="EV203" s="44"/>
      <c r="EW203" s="44"/>
      <c r="EX203" s="44"/>
      <c r="EY203" s="68"/>
      <c r="EZ203" s="68"/>
      <c r="FA203" s="44"/>
      <c r="FB203" s="118"/>
      <c r="FC203" s="71"/>
      <c r="FD203" s="71"/>
      <c r="FE203" s="122"/>
      <c r="FF203" s="221"/>
      <c r="FG203" s="221"/>
      <c r="FH203" s="68"/>
      <c r="FI203" s="44"/>
      <c r="FJ203" s="44"/>
      <c r="FK203" s="44"/>
      <c r="FL203" s="44"/>
      <c r="FM203" s="44"/>
      <c r="FN203" s="44"/>
      <c r="FO203" s="68"/>
      <c r="FP203" s="68"/>
      <c r="FQ203" s="44"/>
      <c r="FR203" s="118"/>
      <c r="FS203" s="71"/>
      <c r="FT203" s="71"/>
      <c r="FU203" s="122"/>
      <c r="FV203" s="221"/>
      <c r="FW203" s="221"/>
      <c r="FX203" s="68"/>
      <c r="FY203" s="44"/>
      <c r="FZ203" s="44"/>
      <c r="GA203" s="44"/>
      <c r="GB203" s="44"/>
      <c r="GC203" s="44"/>
      <c r="GD203" s="44"/>
      <c r="GE203" s="68"/>
      <c r="GF203" s="68"/>
      <c r="GG203" s="44"/>
      <c r="GH203" s="118"/>
      <c r="GI203" s="71"/>
      <c r="GJ203" s="71"/>
      <c r="GK203" s="122"/>
      <c r="GL203" s="221"/>
      <c r="GM203" s="221"/>
      <c r="GN203" s="68"/>
      <c r="GO203" s="44"/>
      <c r="GP203" s="44"/>
      <c r="GQ203" s="44"/>
      <c r="GR203" s="44"/>
      <c r="GS203" s="44"/>
      <c r="GT203" s="44"/>
      <c r="GU203" s="68"/>
      <c r="GV203" s="68"/>
      <c r="GW203" s="44"/>
      <c r="GX203" s="118"/>
      <c r="GY203" s="71"/>
      <c r="GZ203" s="71"/>
      <c r="HA203" s="122"/>
      <c r="HB203" s="221"/>
      <c r="HC203" s="221"/>
      <c r="HD203" s="68"/>
      <c r="HE203" s="44"/>
      <c r="HF203" s="44"/>
      <c r="HG203" s="44"/>
      <c r="HH203" s="44"/>
      <c r="HI203" s="44"/>
      <c r="HJ203" s="44"/>
      <c r="HK203" s="68"/>
      <c r="HL203" s="68"/>
      <c r="HM203" s="44"/>
      <c r="HN203" s="118"/>
      <c r="HO203" s="71"/>
      <c r="HP203" s="71"/>
      <c r="HQ203" s="122"/>
      <c r="HR203" s="221"/>
      <c r="HS203" s="221"/>
      <c r="HT203" s="68"/>
      <c r="HU203" s="44"/>
      <c r="HV203" s="44"/>
      <c r="HW203" s="44"/>
      <c r="HX203" s="44"/>
      <c r="HY203" s="44"/>
      <c r="HZ203" s="44"/>
      <c r="IA203" s="68"/>
      <c r="IB203" s="68"/>
      <c r="IC203" s="44"/>
      <c r="ID203" s="118"/>
      <c r="IE203" s="71"/>
      <c r="IF203" s="71"/>
      <c r="IG203" s="122"/>
      <c r="IH203" s="221"/>
      <c r="II203" s="221"/>
      <c r="IJ203" s="68"/>
      <c r="IK203" s="44"/>
      <c r="IL203" s="44"/>
      <c r="IM203" s="44"/>
      <c r="IN203" s="44"/>
      <c r="IO203" s="44"/>
      <c r="IP203" s="44"/>
      <c r="IQ203" s="68"/>
      <c r="IR203" s="68"/>
      <c r="IS203" s="44"/>
      <c r="IT203" s="118"/>
      <c r="IU203" s="71"/>
      <c r="IV203" s="71"/>
    </row>
    <row r="204" spans="1:256" ht="13.8" thickBot="1" x14ac:dyDescent="0.3">
      <c r="A204" s="100"/>
      <c r="B204" s="225"/>
      <c r="C204" s="225"/>
      <c r="D204" s="73"/>
      <c r="E204" s="42"/>
      <c r="F204" s="42"/>
      <c r="G204" s="42"/>
      <c r="H204" s="42"/>
      <c r="I204" s="42"/>
      <c r="J204" s="42"/>
      <c r="K204" s="73"/>
      <c r="L204" s="73"/>
      <c r="M204" s="42"/>
      <c r="N204" s="102"/>
      <c r="O204" s="103"/>
      <c r="P204" s="103"/>
      <c r="Q204" s="44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</row>
    <row r="205" spans="1:256" x14ac:dyDescent="0.25">
      <c r="A205" s="34"/>
      <c r="B205" s="226"/>
      <c r="C205" s="229" t="s">
        <v>2628</v>
      </c>
      <c r="D205" s="36"/>
      <c r="E205" s="37"/>
      <c r="F205" s="35"/>
      <c r="G205" s="35"/>
      <c r="H205" s="35"/>
      <c r="I205" s="38"/>
      <c r="J205" s="36"/>
      <c r="K205" s="37" t="s">
        <v>2980</v>
      </c>
      <c r="L205" s="38"/>
      <c r="M205" s="36" t="s">
        <v>2981</v>
      </c>
      <c r="N205" s="39"/>
      <c r="O205" s="40" t="s">
        <v>2982</v>
      </c>
      <c r="P205" s="105" t="s">
        <v>2983</v>
      </c>
      <c r="Q205" s="44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</row>
    <row r="206" spans="1:256" x14ac:dyDescent="0.25">
      <c r="A206" s="43" t="s">
        <v>2012</v>
      </c>
      <c r="B206" s="221" t="s">
        <v>2984</v>
      </c>
      <c r="C206" s="230" t="s">
        <v>2629</v>
      </c>
      <c r="D206" s="51"/>
      <c r="E206" s="44" t="s">
        <v>2992</v>
      </c>
      <c r="F206" s="44" t="s">
        <v>329</v>
      </c>
      <c r="G206" s="44" t="s">
        <v>330</v>
      </c>
      <c r="H206" s="44"/>
      <c r="I206" s="51"/>
      <c r="J206" s="51"/>
      <c r="K206" s="50" t="s">
        <v>2987</v>
      </c>
      <c r="L206" s="51" t="s">
        <v>2987</v>
      </c>
      <c r="M206" s="49"/>
      <c r="N206" s="52" t="s">
        <v>2988</v>
      </c>
      <c r="O206" s="53" t="s">
        <v>2989</v>
      </c>
      <c r="P206" s="106" t="s">
        <v>2989</v>
      </c>
      <c r="Q206" s="44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</row>
    <row r="207" spans="1:256" ht="13.8" thickBot="1" x14ac:dyDescent="0.3">
      <c r="A207" s="94"/>
      <c r="B207" s="223"/>
      <c r="C207" s="223"/>
      <c r="D207" s="60"/>
      <c r="E207" s="61"/>
      <c r="F207" s="55"/>
      <c r="G207" s="55"/>
      <c r="H207" s="55"/>
      <c r="I207" s="62"/>
      <c r="J207" s="60"/>
      <c r="K207" s="61"/>
      <c r="L207" s="62"/>
      <c r="M207" s="60"/>
      <c r="N207" s="63"/>
      <c r="O207" s="64" t="s">
        <v>3027</v>
      </c>
      <c r="P207" s="107"/>
      <c r="Q207" s="44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</row>
    <row r="208" spans="1:256" x14ac:dyDescent="0.25">
      <c r="A208" s="82">
        <v>35074</v>
      </c>
      <c r="B208" s="217" t="s">
        <v>1070</v>
      </c>
      <c r="C208" s="218" t="s">
        <v>292</v>
      </c>
      <c r="D208" s="484" t="s">
        <v>1068</v>
      </c>
      <c r="E208" s="83"/>
      <c r="F208" s="83"/>
      <c r="G208" s="83"/>
      <c r="H208" s="83"/>
      <c r="I208" s="84"/>
      <c r="J208" s="86"/>
      <c r="K208" s="87">
        <f>SUM(E208:J208)</f>
        <v>0</v>
      </c>
      <c r="L208" s="88"/>
      <c r="M208" s="93">
        <v>10</v>
      </c>
      <c r="N208" s="89"/>
      <c r="O208" s="90"/>
      <c r="P208" s="113"/>
      <c r="Q208" s="44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</row>
    <row r="209" spans="1:29" ht="13.8" thickBot="1" x14ac:dyDescent="0.3">
      <c r="A209" s="94"/>
      <c r="B209" s="223"/>
      <c r="C209" s="224"/>
      <c r="D209" s="485" t="s">
        <v>1069</v>
      </c>
      <c r="E209" s="55"/>
      <c r="F209" s="55"/>
      <c r="G209" s="55"/>
      <c r="H209" s="55"/>
      <c r="I209" s="62"/>
      <c r="J209" s="60"/>
      <c r="K209" s="96">
        <f>SUM(E209:J209)</f>
        <v>0</v>
      </c>
      <c r="L209" s="97">
        <f>+K208+K209</f>
        <v>0</v>
      </c>
      <c r="M209" s="60">
        <v>26</v>
      </c>
      <c r="N209" s="63">
        <f>+L209/1200</f>
        <v>0</v>
      </c>
      <c r="O209" s="98"/>
      <c r="P209" s="107"/>
      <c r="Q209" s="44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</row>
    <row r="210" spans="1:29" x14ac:dyDescent="0.25">
      <c r="A210" s="82">
        <v>38738</v>
      </c>
      <c r="B210" s="217" t="s">
        <v>2630</v>
      </c>
      <c r="C210" s="218" t="s">
        <v>2348</v>
      </c>
      <c r="D210" s="85" t="s">
        <v>2631</v>
      </c>
      <c r="E210" s="83">
        <v>131</v>
      </c>
      <c r="F210" s="83">
        <v>124</v>
      </c>
      <c r="G210" s="83">
        <v>130</v>
      </c>
      <c r="H210" s="83"/>
      <c r="I210" s="84"/>
      <c r="J210" s="86"/>
      <c r="K210" s="87">
        <f t="shared" ref="K210:K215" si="29">SUM(E210:J210)</f>
        <v>385</v>
      </c>
      <c r="L210" s="88"/>
      <c r="M210" s="93">
        <v>18</v>
      </c>
      <c r="N210" s="89"/>
      <c r="O210" s="90"/>
      <c r="P210" s="113"/>
      <c r="Q210" s="44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</row>
    <row r="211" spans="1:29" ht="13.8" thickBot="1" x14ac:dyDescent="0.3">
      <c r="A211" s="94"/>
      <c r="B211" s="223"/>
      <c r="C211" s="224"/>
      <c r="D211" s="95" t="s">
        <v>2632</v>
      </c>
      <c r="E211" s="55">
        <v>130</v>
      </c>
      <c r="F211" s="55">
        <v>123</v>
      </c>
      <c r="G211" s="55">
        <v>125</v>
      </c>
      <c r="H211" s="55"/>
      <c r="I211" s="62"/>
      <c r="J211" s="60"/>
      <c r="K211" s="96">
        <f t="shared" si="29"/>
        <v>378</v>
      </c>
      <c r="L211" s="97">
        <f>+K210+K211</f>
        <v>763</v>
      </c>
      <c r="M211" s="60">
        <v>26</v>
      </c>
      <c r="N211" s="63">
        <f>+L211/1200</f>
        <v>0.63600000000000001</v>
      </c>
      <c r="O211" s="98">
        <v>856</v>
      </c>
      <c r="P211" s="107">
        <v>600</v>
      </c>
      <c r="Q211" s="44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</row>
    <row r="212" spans="1:29" x14ac:dyDescent="0.25">
      <c r="A212" s="82">
        <v>40115</v>
      </c>
      <c r="B212" s="217" t="s">
        <v>3913</v>
      </c>
      <c r="C212" s="218" t="s">
        <v>3879</v>
      </c>
      <c r="D212" s="85" t="s">
        <v>3914</v>
      </c>
      <c r="E212" s="83">
        <v>126</v>
      </c>
      <c r="F212" s="83">
        <v>137</v>
      </c>
      <c r="G212" s="83">
        <v>124</v>
      </c>
      <c r="H212" s="83"/>
      <c r="I212" s="84"/>
      <c r="J212" s="86"/>
      <c r="K212" s="87">
        <f t="shared" si="29"/>
        <v>387</v>
      </c>
      <c r="L212" s="88"/>
      <c r="M212" s="93">
        <v>26</v>
      </c>
      <c r="N212" s="89"/>
      <c r="O212" s="90"/>
      <c r="P212" s="113"/>
      <c r="Q212" s="44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</row>
    <row r="213" spans="1:29" ht="13.8" thickBot="1" x14ac:dyDescent="0.3">
      <c r="A213" s="94"/>
      <c r="B213" s="223"/>
      <c r="C213" s="224"/>
      <c r="D213" s="95" t="s">
        <v>2229</v>
      </c>
      <c r="E213" s="55">
        <v>125</v>
      </c>
      <c r="F213" s="55">
        <v>134</v>
      </c>
      <c r="G213" s="55">
        <v>122</v>
      </c>
      <c r="H213" s="55"/>
      <c r="I213" s="62"/>
      <c r="J213" s="60"/>
      <c r="K213" s="96">
        <f t="shared" si="29"/>
        <v>381</v>
      </c>
      <c r="L213" s="97">
        <f>+K212+K213</f>
        <v>768</v>
      </c>
      <c r="M213" s="60">
        <v>27</v>
      </c>
      <c r="N213" s="63">
        <f>+L213/1200</f>
        <v>0.64</v>
      </c>
      <c r="O213" s="98">
        <v>890</v>
      </c>
      <c r="P213" s="107">
        <v>748</v>
      </c>
      <c r="Q213" s="44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</row>
    <row r="214" spans="1:29" x14ac:dyDescent="0.25">
      <c r="A214" s="82">
        <v>40928</v>
      </c>
      <c r="B214" s="217" t="s">
        <v>1980</v>
      </c>
      <c r="C214" s="218" t="s">
        <v>2676</v>
      </c>
      <c r="D214" s="85" t="s">
        <v>1981</v>
      </c>
      <c r="E214" s="83">
        <v>121</v>
      </c>
      <c r="F214" s="83">
        <v>123</v>
      </c>
      <c r="G214" s="83">
        <v>115</v>
      </c>
      <c r="H214" s="83"/>
      <c r="I214" s="84"/>
      <c r="J214" s="86"/>
      <c r="K214" s="87">
        <f t="shared" si="29"/>
        <v>359</v>
      </c>
      <c r="L214" s="88"/>
      <c r="M214" s="93">
        <v>25</v>
      </c>
      <c r="N214" s="89"/>
      <c r="O214" s="90"/>
      <c r="P214" s="113"/>
      <c r="Q214" s="44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</row>
    <row r="215" spans="1:29" ht="13.8" thickBot="1" x14ac:dyDescent="0.3">
      <c r="A215" s="94"/>
      <c r="B215" s="223"/>
      <c r="C215" s="224"/>
      <c r="D215" s="95" t="s">
        <v>1982</v>
      </c>
      <c r="E215" s="55">
        <v>122</v>
      </c>
      <c r="F215" s="55">
        <v>123</v>
      </c>
      <c r="G215" s="55">
        <v>119</v>
      </c>
      <c r="H215" s="55"/>
      <c r="I215" s="62"/>
      <c r="J215" s="60"/>
      <c r="K215" s="96">
        <f t="shared" si="29"/>
        <v>364</v>
      </c>
      <c r="L215" s="97">
        <f>+K214+K215</f>
        <v>723</v>
      </c>
      <c r="M215" s="60">
        <v>27</v>
      </c>
      <c r="N215" s="63">
        <f>+L215/1200</f>
        <v>0.60299999999999998</v>
      </c>
      <c r="O215" s="98">
        <v>887</v>
      </c>
      <c r="P215" s="107">
        <v>707</v>
      </c>
      <c r="Q215" s="44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</row>
    <row r="216" spans="1:29" ht="15.6" x14ac:dyDescent="0.3">
      <c r="A216" s="82">
        <v>41286</v>
      </c>
      <c r="B216" s="217" t="s">
        <v>2320</v>
      </c>
      <c r="C216" s="491" t="s">
        <v>3998</v>
      </c>
      <c r="D216" s="85" t="s">
        <v>118</v>
      </c>
      <c r="E216" s="83">
        <v>134</v>
      </c>
      <c r="F216" s="83">
        <v>140</v>
      </c>
      <c r="G216" s="83">
        <v>133</v>
      </c>
      <c r="H216" s="83"/>
      <c r="I216" s="84"/>
      <c r="J216" s="86"/>
      <c r="K216" s="87">
        <f t="shared" ref="K216:K225" si="30">SUM(E216:J216)</f>
        <v>407</v>
      </c>
      <c r="L216" s="88"/>
      <c r="M216" s="422" t="s">
        <v>2321</v>
      </c>
      <c r="N216" s="89"/>
      <c r="O216" s="90"/>
      <c r="P216" s="113"/>
      <c r="Q216" s="44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</row>
    <row r="217" spans="1:29" ht="13.8" thickBot="1" x14ac:dyDescent="0.3">
      <c r="A217" s="94"/>
      <c r="B217" s="223"/>
      <c r="C217" s="224"/>
      <c r="D217" s="95" t="s">
        <v>3998</v>
      </c>
      <c r="E217" s="55">
        <v>129</v>
      </c>
      <c r="F217" s="55">
        <v>137</v>
      </c>
      <c r="G217" s="55">
        <v>132</v>
      </c>
      <c r="H217" s="55"/>
      <c r="I217" s="62"/>
      <c r="J217" s="60"/>
      <c r="K217" s="96">
        <f t="shared" si="30"/>
        <v>398</v>
      </c>
      <c r="L217" s="97">
        <f>+K216+K217</f>
        <v>805</v>
      </c>
      <c r="M217" s="60">
        <v>28</v>
      </c>
      <c r="N217" s="63">
        <f>+L217/1200</f>
        <v>0.67100000000000004</v>
      </c>
      <c r="O217" s="98">
        <v>877</v>
      </c>
      <c r="P217" s="107">
        <v>736</v>
      </c>
      <c r="Q217" s="44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</row>
    <row r="218" spans="1:29" x14ac:dyDescent="0.25">
      <c r="A218" s="82">
        <v>41670</v>
      </c>
      <c r="B218" s="217" t="s">
        <v>193</v>
      </c>
      <c r="C218" s="218" t="s">
        <v>2697</v>
      </c>
      <c r="D218" s="85" t="s">
        <v>194</v>
      </c>
      <c r="E218" s="470">
        <f>204/3*2</f>
        <v>136</v>
      </c>
      <c r="F218" s="470">
        <f>67*2</f>
        <v>134</v>
      </c>
      <c r="G218" s="470">
        <f>68.6666666666667*2</f>
        <v>137</v>
      </c>
      <c r="H218" s="83"/>
      <c r="I218" s="84"/>
      <c r="J218" s="86"/>
      <c r="K218" s="472">
        <f t="shared" si="30"/>
        <v>407</v>
      </c>
      <c r="L218" s="88"/>
      <c r="M218" s="422">
        <v>17</v>
      </c>
      <c r="N218" s="89"/>
      <c r="O218" s="90"/>
      <c r="P218" s="113"/>
      <c r="Q218" s="44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</row>
    <row r="219" spans="1:29" ht="13.8" thickBot="1" x14ac:dyDescent="0.3">
      <c r="A219" s="94"/>
      <c r="B219" s="223"/>
      <c r="C219" s="224"/>
      <c r="D219" s="95" t="s">
        <v>195</v>
      </c>
      <c r="E219" s="471">
        <f>205/3*2</f>
        <v>137</v>
      </c>
      <c r="F219" s="471">
        <f>67*2</f>
        <v>134</v>
      </c>
      <c r="G219" s="471">
        <f>69*2</f>
        <v>138</v>
      </c>
      <c r="H219" s="55"/>
      <c r="I219" s="62"/>
      <c r="J219" s="60"/>
      <c r="K219" s="473">
        <f t="shared" si="30"/>
        <v>409</v>
      </c>
      <c r="L219" s="97">
        <f>+K218+K219</f>
        <v>816</v>
      </c>
      <c r="M219" s="60">
        <v>29</v>
      </c>
      <c r="N219" s="63">
        <f>+L219/1200</f>
        <v>0.68</v>
      </c>
      <c r="O219" s="98">
        <f>450.666666666667*2</f>
        <v>901</v>
      </c>
      <c r="P219" s="107">
        <f>385.333333333333*2</f>
        <v>771</v>
      </c>
      <c r="Q219" s="44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</row>
    <row r="220" spans="1:29" x14ac:dyDescent="0.25">
      <c r="A220" s="82">
        <v>42014</v>
      </c>
      <c r="B220" s="217" t="s">
        <v>335</v>
      </c>
      <c r="C220" s="218" t="s">
        <v>821</v>
      </c>
      <c r="D220" s="484" t="s">
        <v>1012</v>
      </c>
      <c r="E220" s="470">
        <f>194/3*2</f>
        <v>129</v>
      </c>
      <c r="F220" s="470">
        <f>203/3*2</f>
        <v>135</v>
      </c>
      <c r="G220" s="470">
        <f>204/3*2+1</f>
        <v>137</v>
      </c>
      <c r="H220" s="83"/>
      <c r="I220" s="84"/>
      <c r="J220" s="86"/>
      <c r="K220" s="472">
        <f t="shared" ref="K220:K223" si="31">SUM(E220:J220)</f>
        <v>401</v>
      </c>
      <c r="L220" s="88"/>
      <c r="M220" s="422">
        <v>23</v>
      </c>
      <c r="N220" s="89"/>
      <c r="O220" s="90"/>
      <c r="P220" s="113"/>
      <c r="Q220" s="44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</row>
    <row r="221" spans="1:29" ht="13.8" thickBot="1" x14ac:dyDescent="0.3">
      <c r="A221" s="94"/>
      <c r="B221" s="223"/>
      <c r="C221" s="224"/>
      <c r="D221" s="485" t="s">
        <v>2227</v>
      </c>
      <c r="E221" s="471">
        <f>194/3*2</f>
        <v>129</v>
      </c>
      <c r="F221" s="471">
        <f>200/3*2</f>
        <v>133</v>
      </c>
      <c r="G221" s="471">
        <f>204/3*2</f>
        <v>136</v>
      </c>
      <c r="H221" s="55"/>
      <c r="I221" s="62"/>
      <c r="J221" s="60"/>
      <c r="K221" s="473">
        <f t="shared" si="31"/>
        <v>398</v>
      </c>
      <c r="L221" s="487">
        <f>+K220+K221</f>
        <v>799</v>
      </c>
      <c r="M221" s="60">
        <v>26</v>
      </c>
      <c r="N221" s="63">
        <f>+L221/1200</f>
        <v>0.66600000000000004</v>
      </c>
      <c r="O221" s="486">
        <f>1458/3*2</f>
        <v>972</v>
      </c>
      <c r="P221" s="107">
        <f>1155/3*2</f>
        <v>770</v>
      </c>
      <c r="Q221" s="44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</row>
    <row r="222" spans="1:29" x14ac:dyDescent="0.25">
      <c r="A222" s="82">
        <v>43491</v>
      </c>
      <c r="B222" s="217" t="s">
        <v>123</v>
      </c>
      <c r="C222" s="218" t="s">
        <v>4720</v>
      </c>
      <c r="D222" s="484" t="s">
        <v>4721</v>
      </c>
      <c r="E222" s="470">
        <f>203/3*2</f>
        <v>135</v>
      </c>
      <c r="F222" s="470">
        <f>203/3*2</f>
        <v>135</v>
      </c>
      <c r="G222" s="470">
        <f>199/3*2</f>
        <v>133</v>
      </c>
      <c r="H222" s="83"/>
      <c r="I222" s="84"/>
      <c r="J222" s="86"/>
      <c r="K222" s="472">
        <f t="shared" si="31"/>
        <v>403</v>
      </c>
      <c r="L222" s="88"/>
      <c r="M222" s="422">
        <v>20</v>
      </c>
      <c r="N222" s="89"/>
      <c r="O222" s="90"/>
      <c r="P222" s="113"/>
      <c r="Q222" s="44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</row>
    <row r="223" spans="1:29" ht="13.8" thickBot="1" x14ac:dyDescent="0.3">
      <c r="A223" s="94"/>
      <c r="B223" s="223"/>
      <c r="C223" s="224"/>
      <c r="D223" s="485" t="s">
        <v>4594</v>
      </c>
      <c r="E223" s="471">
        <f>202/3*2</f>
        <v>135</v>
      </c>
      <c r="F223" s="471">
        <f>206/3*2</f>
        <v>137</v>
      </c>
      <c r="G223" s="471">
        <f>196/3*2</f>
        <v>131</v>
      </c>
      <c r="H223" s="55"/>
      <c r="I223" s="62"/>
      <c r="J223" s="60"/>
      <c r="K223" s="473">
        <f t="shared" si="31"/>
        <v>403</v>
      </c>
      <c r="L223" s="487">
        <f>+K222+K223</f>
        <v>806</v>
      </c>
      <c r="M223" s="60">
        <v>24</v>
      </c>
      <c r="N223" s="63">
        <f>+L223/1200</f>
        <v>0.67200000000000004</v>
      </c>
      <c r="O223" s="486">
        <f>1383/3*2</f>
        <v>922</v>
      </c>
      <c r="P223" s="107">
        <f>1193/3*2</f>
        <v>795</v>
      </c>
      <c r="Q223" s="44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</row>
    <row r="224" spans="1:29" x14ac:dyDescent="0.25">
      <c r="A224" s="82">
        <v>43841</v>
      </c>
      <c r="B224" s="217" t="s">
        <v>1070</v>
      </c>
      <c r="C224" s="218" t="s">
        <v>4649</v>
      </c>
      <c r="D224" s="484" t="s">
        <v>4762</v>
      </c>
      <c r="E224" s="470">
        <f>229/3*2</f>
        <v>153</v>
      </c>
      <c r="F224" s="470">
        <f>235/3*2</f>
        <v>157</v>
      </c>
      <c r="G224" s="470">
        <f>233/3*2</f>
        <v>155</v>
      </c>
      <c r="H224" s="83"/>
      <c r="I224" s="84"/>
      <c r="J224" s="86"/>
      <c r="K224" s="472">
        <f t="shared" si="30"/>
        <v>465</v>
      </c>
      <c r="L224" s="88"/>
      <c r="M224" s="422">
        <v>2</v>
      </c>
      <c r="N224" s="89"/>
      <c r="O224" s="90"/>
      <c r="P224" s="113"/>
      <c r="Q224" s="44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</row>
    <row r="225" spans="1:29" ht="13.8" thickBot="1" x14ac:dyDescent="0.3">
      <c r="A225" s="94"/>
      <c r="B225" s="223"/>
      <c r="C225" s="224"/>
      <c r="D225" s="485" t="s">
        <v>4763</v>
      </c>
      <c r="E225" s="471">
        <f>229/3*2</f>
        <v>153</v>
      </c>
      <c r="F225" s="471">
        <f>231/3*2</f>
        <v>154</v>
      </c>
      <c r="G225" s="471">
        <f>235/3*2</f>
        <v>157</v>
      </c>
      <c r="H225" s="55"/>
      <c r="I225" s="62"/>
      <c r="J225" s="60"/>
      <c r="K225" s="473">
        <f t="shared" si="30"/>
        <v>464</v>
      </c>
      <c r="L225" s="487">
        <f>+K224+K225</f>
        <v>929</v>
      </c>
      <c r="M225" s="60">
        <v>25</v>
      </c>
      <c r="N225" s="63">
        <f>+L225/1200</f>
        <v>0.77400000000000002</v>
      </c>
      <c r="O225" s="486">
        <f>1415/3*2</f>
        <v>943</v>
      </c>
      <c r="P225" s="107">
        <f>1161/3*2</f>
        <v>774</v>
      </c>
      <c r="Q225" s="44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</row>
    <row r="226" spans="1:29" x14ac:dyDescent="0.25">
      <c r="A226" s="100"/>
      <c r="B226" s="225"/>
      <c r="C226" s="489" t="s">
        <v>1017</v>
      </c>
      <c r="D226" s="73"/>
      <c r="E226" s="42"/>
      <c r="F226" s="42"/>
      <c r="G226" s="42"/>
      <c r="H226" s="42"/>
      <c r="I226" s="42"/>
      <c r="J226" s="42"/>
      <c r="K226" s="73"/>
      <c r="L226" s="73"/>
      <c r="M226" s="42"/>
      <c r="N226" s="102"/>
      <c r="O226" s="103"/>
      <c r="P226" s="103"/>
      <c r="Q226" s="42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</row>
    <row r="227" spans="1:29" ht="13.8" thickBot="1" x14ac:dyDescent="0.3">
      <c r="A227" s="100"/>
      <c r="B227" s="225"/>
      <c r="C227" s="225"/>
      <c r="D227" s="73"/>
      <c r="E227" s="42"/>
      <c r="F227" s="42"/>
      <c r="G227" s="42"/>
      <c r="H227" s="42"/>
      <c r="I227" s="73"/>
      <c r="J227" s="73"/>
      <c r="K227" s="42"/>
      <c r="L227" s="102"/>
      <c r="M227" s="103"/>
      <c r="N227" s="102"/>
      <c r="O227" s="103"/>
      <c r="P227" s="103"/>
      <c r="Q227" s="42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</row>
    <row r="228" spans="1:29" ht="13.8" thickBot="1" x14ac:dyDescent="0.3">
      <c r="A228" s="34"/>
      <c r="B228" s="226"/>
      <c r="C228" s="229" t="s">
        <v>2541</v>
      </c>
      <c r="D228" s="36"/>
      <c r="E228" s="695" t="s">
        <v>2542</v>
      </c>
      <c r="F228" s="696"/>
      <c r="G228" s="696"/>
      <c r="H228" s="695" t="s">
        <v>2543</v>
      </c>
      <c r="I228" s="696"/>
      <c r="J228" s="696"/>
      <c r="K228" s="697"/>
      <c r="L228" s="73"/>
      <c r="M228" s="42"/>
      <c r="N228" s="102"/>
      <c r="O228" s="103"/>
      <c r="P228" s="103"/>
      <c r="Q228" s="44"/>
      <c r="R228" s="73"/>
      <c r="S228" s="68"/>
      <c r="T228" s="68"/>
      <c r="U228" s="68"/>
      <c r="V228" s="44"/>
      <c r="W228" s="44"/>
      <c r="X228" s="44"/>
      <c r="Y228" s="118"/>
      <c r="Z228" s="71"/>
      <c r="AA228" s="71"/>
      <c r="AB228" s="68"/>
      <c r="AC228" s="73"/>
    </row>
    <row r="229" spans="1:29" x14ac:dyDescent="0.25">
      <c r="A229" s="43" t="s">
        <v>2012</v>
      </c>
      <c r="B229" s="221" t="s">
        <v>2984</v>
      </c>
      <c r="C229" s="227" t="s">
        <v>2544</v>
      </c>
      <c r="D229" s="45"/>
      <c r="E229" s="46"/>
      <c r="F229" s="47"/>
      <c r="G229" s="47"/>
      <c r="H229" s="46"/>
      <c r="I229" s="47"/>
      <c r="J229" s="47"/>
      <c r="K229" s="48"/>
      <c r="L229" s="110" t="s">
        <v>2545</v>
      </c>
      <c r="M229" s="36" t="s">
        <v>2546</v>
      </c>
      <c r="N229" s="39" t="s">
        <v>2547</v>
      </c>
      <c r="O229" s="119" t="s">
        <v>2987</v>
      </c>
      <c r="P229" s="41" t="s">
        <v>2981</v>
      </c>
      <c r="Q229" s="44"/>
      <c r="R229" s="73"/>
      <c r="S229" s="68"/>
      <c r="T229" s="68"/>
      <c r="U229" s="68"/>
      <c r="V229" s="44"/>
      <c r="W229" s="44"/>
      <c r="X229" s="44"/>
      <c r="Y229" s="118"/>
      <c r="Z229" s="71"/>
      <c r="AA229" s="71"/>
      <c r="AB229" s="68"/>
      <c r="AC229" s="73"/>
    </row>
    <row r="230" spans="1:29" ht="13.8" thickBot="1" x14ac:dyDescent="0.3">
      <c r="A230" s="94"/>
      <c r="B230" s="223"/>
      <c r="C230" s="231" t="s">
        <v>2629</v>
      </c>
      <c r="D230" s="56" t="s">
        <v>2991</v>
      </c>
      <c r="E230" s="57" t="s">
        <v>2992</v>
      </c>
      <c r="F230" s="58" t="s">
        <v>329</v>
      </c>
      <c r="G230" s="58" t="s">
        <v>330</v>
      </c>
      <c r="H230" s="57" t="s">
        <v>2992</v>
      </c>
      <c r="I230" s="58" t="s">
        <v>4226</v>
      </c>
      <c r="J230" s="58" t="s">
        <v>4227</v>
      </c>
      <c r="K230" s="59" t="s">
        <v>4228</v>
      </c>
      <c r="L230" s="97" t="s">
        <v>2987</v>
      </c>
      <c r="M230" s="60" t="s">
        <v>4229</v>
      </c>
      <c r="N230" s="63" t="s">
        <v>2987</v>
      </c>
      <c r="O230" s="120" t="s">
        <v>2989</v>
      </c>
      <c r="P230" s="66"/>
      <c r="Q230" s="44"/>
      <c r="R230" s="73"/>
      <c r="S230" s="68"/>
      <c r="T230" s="68"/>
      <c r="U230" s="68"/>
      <c r="V230" s="44"/>
      <c r="W230" s="44"/>
      <c r="X230" s="44"/>
      <c r="Y230" s="118"/>
      <c r="Z230" s="71"/>
      <c r="AA230" s="71"/>
      <c r="AB230" s="68"/>
      <c r="AC230" s="73"/>
    </row>
    <row r="231" spans="1:29" x14ac:dyDescent="0.25">
      <c r="A231" s="34">
        <v>37484</v>
      </c>
      <c r="B231" s="226" t="s">
        <v>545</v>
      </c>
      <c r="C231" s="228" t="s">
        <v>2676</v>
      </c>
      <c r="D231" s="108" t="s">
        <v>546</v>
      </c>
      <c r="E231" s="35">
        <v>128</v>
      </c>
      <c r="F231" s="35">
        <v>118</v>
      </c>
      <c r="G231" s="35">
        <v>132</v>
      </c>
      <c r="H231" s="109">
        <v>59</v>
      </c>
      <c r="I231" s="109">
        <v>66</v>
      </c>
      <c r="J231" s="109">
        <v>60</v>
      </c>
      <c r="K231" s="110">
        <v>59</v>
      </c>
      <c r="L231" s="110"/>
      <c r="M231" s="36"/>
      <c r="N231" s="119"/>
      <c r="O231" s="119"/>
      <c r="P231" s="123">
        <v>13</v>
      </c>
      <c r="Q231" s="44"/>
      <c r="R231" s="73"/>
      <c r="S231" s="68"/>
      <c r="T231" s="68"/>
      <c r="U231" s="68"/>
      <c r="V231" s="68"/>
      <c r="W231" s="68"/>
      <c r="X231" s="121"/>
      <c r="Y231" s="118"/>
      <c r="Z231" s="71"/>
      <c r="AA231" s="71"/>
      <c r="AB231" s="68"/>
      <c r="AC231" s="73"/>
    </row>
    <row r="232" spans="1:29" ht="13.8" thickBot="1" x14ac:dyDescent="0.3">
      <c r="A232" s="94"/>
      <c r="B232" s="223"/>
      <c r="C232" s="224"/>
      <c r="D232" s="95" t="s">
        <v>547</v>
      </c>
      <c r="E232" s="55">
        <v>118</v>
      </c>
      <c r="F232" s="55">
        <v>118</v>
      </c>
      <c r="G232" s="55">
        <v>127</v>
      </c>
      <c r="H232" s="96">
        <v>55</v>
      </c>
      <c r="I232" s="96">
        <v>62</v>
      </c>
      <c r="J232" s="96">
        <v>63</v>
      </c>
      <c r="K232" s="97">
        <v>61</v>
      </c>
      <c r="L232" s="97">
        <f>SUM(E231:K232)</f>
        <v>1226</v>
      </c>
      <c r="M232" s="60">
        <v>0</v>
      </c>
      <c r="N232" s="120">
        <v>1246</v>
      </c>
      <c r="O232" s="120">
        <f>+L232+N232</f>
        <v>2472</v>
      </c>
      <c r="P232" s="66">
        <v>13</v>
      </c>
      <c r="Q232" s="44"/>
      <c r="R232" s="73"/>
      <c r="S232" s="68"/>
      <c r="T232" s="68"/>
      <c r="U232" s="68"/>
      <c r="V232" s="68"/>
      <c r="W232" s="68"/>
      <c r="X232" s="44"/>
      <c r="Y232" s="118"/>
      <c r="Z232" s="71"/>
      <c r="AA232" s="71"/>
      <c r="AB232" s="68"/>
      <c r="AC232" s="73"/>
    </row>
    <row r="233" spans="1:29" x14ac:dyDescent="0.25">
      <c r="A233" s="100"/>
      <c r="B233" s="225"/>
      <c r="C233" s="225"/>
      <c r="D233" s="73"/>
      <c r="E233" s="42"/>
      <c r="F233" s="42"/>
      <c r="G233" s="42"/>
      <c r="H233" s="42"/>
      <c r="I233" s="42"/>
      <c r="J233" s="42"/>
      <c r="K233" s="73"/>
      <c r="L233" s="73"/>
      <c r="M233" s="42"/>
      <c r="N233" s="102"/>
      <c r="O233" s="103"/>
      <c r="P233" s="103"/>
      <c r="Q233" s="42"/>
      <c r="R233" s="73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73"/>
    </row>
  </sheetData>
  <mergeCells count="2">
    <mergeCell ref="E228:G228"/>
    <mergeCell ref="H228:K228"/>
  </mergeCells>
  <phoneticPr fontId="10" type="noConversion"/>
  <hyperlinks>
    <hyperlink ref="A3" r:id="rId1" xr:uid="{00000000-0004-0000-0800-000000000000}"/>
  </hyperlinks>
  <printOptions horizontalCentered="1"/>
  <pageMargins left="0" right="0" top="0.59055118110236227" bottom="0" header="0" footer="0"/>
  <pageSetup paperSize="9" scale="17" orientation="landscape" r:id="rId2"/>
  <headerFooter alignWithMargins="0">
    <oddHeader>&amp;L&amp;"Arial,Bold"&amp;16International&amp;C&amp;"Arial,Bold"&amp;16CONTEST RESULTS&amp;R&amp;"Arial,Bold"&amp;14&amp;D at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Past Quartets 1st - 3rd Place</vt:lpstr>
      <vt:lpstr>Past Quartets 4th - 6th Place</vt:lpstr>
      <vt:lpstr>Past Quartets 7th onwards</vt:lpstr>
      <vt:lpstr>Missing Info</vt:lpstr>
      <vt:lpstr>Mike Warmers</vt:lpstr>
      <vt:lpstr>Chorus Champs</vt:lpstr>
      <vt:lpstr>Other Chorus Results</vt:lpstr>
      <vt:lpstr>Chorus Divisions</vt:lpstr>
      <vt:lpstr>Chorus &amp; Quartet results at Int</vt:lpstr>
      <vt:lpstr>Most improved chorus</vt:lpstr>
      <vt:lpstr>Most Improved Chorus Calc</vt:lpstr>
      <vt:lpstr>Most improved Quartet</vt:lpstr>
      <vt:lpstr>Most Improved Quartet Calc</vt:lpstr>
      <vt:lpstr>Small Chorus Award</vt:lpstr>
      <vt:lpstr>Seniors Detail</vt:lpstr>
      <vt:lpstr>'Missing Info'!Print_Titles</vt:lpstr>
      <vt:lpstr>'Most Improved Chorus Calc'!Print_Titles</vt:lpstr>
      <vt:lpstr>'Most Improved Quartet Calc'!Print_Titles</vt:lpstr>
      <vt:lpstr>'Other Chorus Results'!Print_Titles</vt:lpstr>
      <vt:lpstr>'Past Quartets 7th onwards'!Print_Titles</vt:lpstr>
    </vt:vector>
  </TitlesOfParts>
  <Company>Allport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</dc:creator>
  <cp:lastModifiedBy>Aidan Brand</cp:lastModifiedBy>
  <cp:lastPrinted>2020-02-16T16:26:36Z</cp:lastPrinted>
  <dcterms:created xsi:type="dcterms:W3CDTF">2006-04-26T11:06:56Z</dcterms:created>
  <dcterms:modified xsi:type="dcterms:W3CDTF">2020-02-23T17:23:21Z</dcterms:modified>
</cp:coreProperties>
</file>